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filterPrivacy="1" defaultThemeVersion="124226"/>
  <xr:revisionPtr revIDLastSave="0" documentId="8_{764AA6C3-1FAB-4288-99D8-42B493537764}" xr6:coauthVersionLast="47" xr6:coauthVersionMax="47" xr10:uidLastSave="{00000000-0000-0000-0000-000000000000}"/>
  <bookViews>
    <workbookView xWindow="-103" yWindow="-103" windowWidth="33120" windowHeight="1812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4" l="1"/>
  <c r="K708" i="1"/>
  <c r="AG708" i="1"/>
  <c r="M708" i="1"/>
  <c r="BA708" i="1"/>
  <c r="U708" i="1"/>
  <c r="W708" i="1"/>
  <c r="X708" i="1"/>
  <c r="AA708" i="1"/>
  <c r="AB708" i="1"/>
  <c r="AC708" i="1"/>
  <c r="AE708" i="1"/>
  <c r="AF708" i="1"/>
  <c r="AJ708" i="1"/>
  <c r="I708" i="1"/>
  <c r="AK708" i="1"/>
  <c r="AS708" i="1" s="1"/>
  <c r="AY708" i="1"/>
  <c r="BE708" i="1"/>
  <c r="BE709" i="1"/>
  <c r="AY709" i="1"/>
  <c r="AK709" i="1"/>
  <c r="J709" i="1"/>
  <c r="AJ709" i="1"/>
  <c r="I709" i="1"/>
  <c r="AF709" i="1"/>
  <c r="AE709" i="1"/>
  <c r="AC709" i="1"/>
  <c r="AB709" i="1"/>
  <c r="AA709" i="1"/>
  <c r="X709" i="1"/>
  <c r="W709" i="1"/>
  <c r="U709" i="1"/>
  <c r="M709" i="1"/>
  <c r="BA709" i="1"/>
  <c r="K709" i="1"/>
  <c r="AG709" i="1"/>
  <c r="BE712" i="1"/>
  <c r="AY712" i="1"/>
  <c r="AK712" i="1"/>
  <c r="J712" i="1"/>
  <c r="AJ712" i="1"/>
  <c r="I712" i="1"/>
  <c r="AF712" i="1"/>
  <c r="AE712" i="1"/>
  <c r="AC712" i="1"/>
  <c r="AB712" i="1"/>
  <c r="AA712" i="1"/>
  <c r="X712" i="1"/>
  <c r="W712" i="1"/>
  <c r="U712" i="1"/>
  <c r="M712" i="1"/>
  <c r="BA712" i="1"/>
  <c r="K712" i="1"/>
  <c r="AG712" i="1"/>
  <c r="K801" i="1"/>
  <c r="AG801" i="1"/>
  <c r="J801" i="1"/>
  <c r="I801" i="1"/>
  <c r="BE800" i="1"/>
  <c r="AY800" i="1"/>
  <c r="AK800" i="1"/>
  <c r="AS800" i="1"/>
  <c r="AJ800" i="1"/>
  <c r="I800" i="1"/>
  <c r="AF800" i="1"/>
  <c r="AE800" i="1"/>
  <c r="AC800" i="1"/>
  <c r="Z800" i="1"/>
  <c r="Y800" i="1"/>
  <c r="X800" i="1"/>
  <c r="W800" i="1"/>
  <c r="U800" i="1"/>
  <c r="M800" i="1"/>
  <c r="BA800" i="1"/>
  <c r="K800" i="1"/>
  <c r="AG800" i="1"/>
  <c r="C2" i="4"/>
  <c r="F2" i="4"/>
  <c r="C4" i="4"/>
  <c r="F4" i="4"/>
  <c r="C6" i="4"/>
  <c r="F6" i="4"/>
  <c r="C8" i="4"/>
  <c r="F8" i="4"/>
  <c r="C10" i="4"/>
  <c r="F10" i="4"/>
  <c r="K13" i="1"/>
  <c r="AG13" i="1"/>
  <c r="M13" i="1"/>
  <c r="BA13" i="1" s="1"/>
  <c r="U13" i="1"/>
  <c r="W13" i="1"/>
  <c r="X13" i="1"/>
  <c r="Y13" i="1"/>
  <c r="Z13" i="1"/>
  <c r="AC13" i="1"/>
  <c r="AE13" i="1"/>
  <c r="AF13" i="1"/>
  <c r="AJ13" i="1"/>
  <c r="I13" i="1"/>
  <c r="AK13" i="1"/>
  <c r="BD13" i="1"/>
  <c r="AB13" i="1" s="1"/>
  <c r="AY13" i="1"/>
  <c r="BE13" i="1"/>
  <c r="K14" i="1"/>
  <c r="AG14" i="1"/>
  <c r="M14" i="1"/>
  <c r="BA14" i="1" s="1"/>
  <c r="U14" i="1"/>
  <c r="W14" i="1"/>
  <c r="X14" i="1"/>
  <c r="Y14" i="1"/>
  <c r="Z14" i="1"/>
  <c r="AC14" i="1"/>
  <c r="AE14" i="1"/>
  <c r="AF14" i="1"/>
  <c r="AJ14" i="1"/>
  <c r="AR14" i="1"/>
  <c r="AK14" i="1"/>
  <c r="J14" i="1" s="1"/>
  <c r="AY14" i="1"/>
  <c r="BE14" i="1"/>
  <c r="K15" i="1"/>
  <c r="AG15" i="1" s="1"/>
  <c r="M15" i="1"/>
  <c r="BA15" i="1"/>
  <c r="U15" i="1"/>
  <c r="W15" i="1"/>
  <c r="X15" i="1"/>
  <c r="Y15" i="1"/>
  <c r="Z15" i="1"/>
  <c r="AC15" i="1"/>
  <c r="AE15" i="1"/>
  <c r="AF15" i="1"/>
  <c r="AJ15" i="1"/>
  <c r="BC15" i="1" s="1"/>
  <c r="AA15" i="1" s="1"/>
  <c r="AK15" i="1"/>
  <c r="J15" i="1"/>
  <c r="AY15" i="1"/>
  <c r="BE15" i="1"/>
  <c r="K16" i="1"/>
  <c r="AG16" i="1"/>
  <c r="M16" i="1"/>
  <c r="BA16" i="1"/>
  <c r="U16" i="1"/>
  <c r="W16" i="1"/>
  <c r="X16" i="1"/>
  <c r="Y16" i="1"/>
  <c r="Z16" i="1"/>
  <c r="AC16" i="1"/>
  <c r="AE16" i="1"/>
  <c r="AF16" i="1"/>
  <c r="AJ16" i="1"/>
  <c r="AR16" i="1"/>
  <c r="AK16" i="1"/>
  <c r="AS16" i="1" s="1"/>
  <c r="AY16" i="1"/>
  <c r="BE16" i="1"/>
  <c r="K17" i="1"/>
  <c r="AG17" i="1"/>
  <c r="M17" i="1"/>
  <c r="BA17" i="1"/>
  <c r="U17" i="1"/>
  <c r="W17" i="1"/>
  <c r="X17" i="1"/>
  <c r="Y17" i="1"/>
  <c r="Z17" i="1"/>
  <c r="AC17" i="1"/>
  <c r="AE17" i="1"/>
  <c r="AF17" i="1"/>
  <c r="AJ17" i="1"/>
  <c r="BC17" i="1" s="1"/>
  <c r="AA17" i="1" s="1"/>
  <c r="AK17" i="1"/>
  <c r="J17" i="1" s="1"/>
  <c r="AY17" i="1"/>
  <c r="BE17" i="1"/>
  <c r="K18" i="1"/>
  <c r="AG18" i="1"/>
  <c r="M18" i="1"/>
  <c r="U18" i="1"/>
  <c r="W18" i="1"/>
  <c r="X18" i="1"/>
  <c r="Y18" i="1"/>
  <c r="Z18" i="1"/>
  <c r="AC18" i="1"/>
  <c r="AE18" i="1"/>
  <c r="AF18" i="1"/>
  <c r="AJ18" i="1"/>
  <c r="AR18" i="1"/>
  <c r="AK18" i="1"/>
  <c r="AS18" i="1"/>
  <c r="AY18" i="1"/>
  <c r="BE18" i="1"/>
  <c r="K19" i="1"/>
  <c r="AG19" i="1" s="1"/>
  <c r="M19" i="1"/>
  <c r="BA19" i="1"/>
  <c r="U19" i="1"/>
  <c r="W19" i="1"/>
  <c r="X19" i="1"/>
  <c r="Y19" i="1"/>
  <c r="Z19" i="1"/>
  <c r="AC19" i="1"/>
  <c r="AE19" i="1"/>
  <c r="AF19" i="1"/>
  <c r="AJ19" i="1"/>
  <c r="I19" i="1"/>
  <c r="AK19" i="1"/>
  <c r="AY19" i="1"/>
  <c r="BE19" i="1"/>
  <c r="K20" i="1"/>
  <c r="AG20" i="1"/>
  <c r="M20" i="1"/>
  <c r="BA20" i="1" s="1"/>
  <c r="U20" i="1"/>
  <c r="W20" i="1"/>
  <c r="X20" i="1"/>
  <c r="Y20" i="1"/>
  <c r="Z20" i="1"/>
  <c r="AC20" i="1"/>
  <c r="AE20" i="1"/>
  <c r="AF20" i="1"/>
  <c r="AJ20" i="1"/>
  <c r="AR20" i="1" s="1"/>
  <c r="AK20" i="1"/>
  <c r="J20" i="1"/>
  <c r="AY20" i="1"/>
  <c r="BE20" i="1"/>
  <c r="K21" i="1"/>
  <c r="AG21" i="1" s="1"/>
  <c r="M21" i="1"/>
  <c r="BA21" i="1" s="1"/>
  <c r="U21" i="1"/>
  <c r="W21" i="1"/>
  <c r="X21" i="1"/>
  <c r="Y21" i="1"/>
  <c r="Z21" i="1"/>
  <c r="AC21" i="1"/>
  <c r="AE21" i="1"/>
  <c r="AF21" i="1"/>
  <c r="AJ21" i="1"/>
  <c r="BC21" i="1"/>
  <c r="AA21" i="1" s="1"/>
  <c r="AK21" i="1"/>
  <c r="J21" i="1"/>
  <c r="AY21" i="1"/>
  <c r="BE21" i="1"/>
  <c r="K22" i="1"/>
  <c r="AG22" i="1"/>
  <c r="M22" i="1"/>
  <c r="BA22" i="1" s="1"/>
  <c r="U22" i="1"/>
  <c r="W22" i="1"/>
  <c r="X22" i="1"/>
  <c r="Y22" i="1"/>
  <c r="Z22" i="1"/>
  <c r="AC22" i="1"/>
  <c r="AE22" i="1"/>
  <c r="AF22" i="1"/>
  <c r="AJ22" i="1"/>
  <c r="BC22" i="1"/>
  <c r="AA22" i="1" s="1"/>
  <c r="AK22" i="1"/>
  <c r="AY22" i="1"/>
  <c r="BE22" i="1"/>
  <c r="K23" i="1"/>
  <c r="AG23" i="1" s="1"/>
  <c r="M23" i="1"/>
  <c r="BA23" i="1"/>
  <c r="U23" i="1"/>
  <c r="W23" i="1"/>
  <c r="X23" i="1"/>
  <c r="Y23" i="1"/>
  <c r="Z23" i="1"/>
  <c r="AC23" i="1"/>
  <c r="AE23" i="1"/>
  <c r="AF23" i="1"/>
  <c r="AJ23" i="1"/>
  <c r="I23" i="1"/>
  <c r="AK23" i="1"/>
  <c r="J23" i="1"/>
  <c r="AY23" i="1"/>
  <c r="BE23" i="1"/>
  <c r="K24" i="1"/>
  <c r="AG24" i="1"/>
  <c r="M24" i="1"/>
  <c r="BA24" i="1"/>
  <c r="U24" i="1"/>
  <c r="W24" i="1"/>
  <c r="X24" i="1"/>
  <c r="Y24" i="1"/>
  <c r="Z24" i="1"/>
  <c r="AC24" i="1"/>
  <c r="AE24" i="1"/>
  <c r="AF24" i="1"/>
  <c r="AJ24" i="1"/>
  <c r="I24" i="1"/>
  <c r="AK24" i="1"/>
  <c r="AY24" i="1"/>
  <c r="BE24" i="1"/>
  <c r="K25" i="1"/>
  <c r="AG25" i="1" s="1"/>
  <c r="M25" i="1"/>
  <c r="BA25" i="1" s="1"/>
  <c r="U25" i="1"/>
  <c r="W25" i="1"/>
  <c r="X25" i="1"/>
  <c r="Y25" i="1"/>
  <c r="Z25" i="1"/>
  <c r="AC25" i="1"/>
  <c r="AE25" i="1"/>
  <c r="AF25" i="1"/>
  <c r="AJ25" i="1"/>
  <c r="AK25" i="1"/>
  <c r="BD25" i="1" s="1"/>
  <c r="AB25" i="1" s="1"/>
  <c r="AY25" i="1"/>
  <c r="BE25" i="1"/>
  <c r="K26" i="1"/>
  <c r="AG26" i="1"/>
  <c r="M26" i="1"/>
  <c r="BA26" i="1"/>
  <c r="U26" i="1"/>
  <c r="W26" i="1"/>
  <c r="X26" i="1"/>
  <c r="Y26" i="1"/>
  <c r="Z26" i="1"/>
  <c r="AC26" i="1"/>
  <c r="AE26" i="1"/>
  <c r="AF26" i="1"/>
  <c r="AJ26" i="1"/>
  <c r="AR26" i="1"/>
  <c r="AK26" i="1"/>
  <c r="AS26" i="1" s="1"/>
  <c r="AY26" i="1"/>
  <c r="BE26" i="1"/>
  <c r="K27" i="1"/>
  <c r="AG27" i="1"/>
  <c r="M27" i="1"/>
  <c r="BA27" i="1"/>
  <c r="U27" i="1"/>
  <c r="W27" i="1"/>
  <c r="X27" i="1"/>
  <c r="Y27" i="1"/>
  <c r="Z27" i="1"/>
  <c r="AC27" i="1"/>
  <c r="AE27" i="1"/>
  <c r="AF27" i="1"/>
  <c r="AJ27" i="1"/>
  <c r="BC27" i="1" s="1"/>
  <c r="AA27" i="1" s="1"/>
  <c r="AK27" i="1"/>
  <c r="BD27" i="1"/>
  <c r="AB27" i="1"/>
  <c r="AY27" i="1"/>
  <c r="BE27" i="1"/>
  <c r="K28" i="1"/>
  <c r="AG28" i="1" s="1"/>
  <c r="M28" i="1"/>
  <c r="BA28" i="1" s="1"/>
  <c r="U28" i="1"/>
  <c r="W28" i="1"/>
  <c r="X28" i="1"/>
  <c r="Y28" i="1"/>
  <c r="Z28" i="1"/>
  <c r="AC28" i="1"/>
  <c r="AE28" i="1"/>
  <c r="AF28" i="1"/>
  <c r="AJ28" i="1"/>
  <c r="AK28" i="1"/>
  <c r="J28" i="1" s="1"/>
  <c r="AY28" i="1"/>
  <c r="BE28" i="1"/>
  <c r="K29" i="1"/>
  <c r="AG29" i="1"/>
  <c r="M29" i="1"/>
  <c r="BA29" i="1"/>
  <c r="U29" i="1"/>
  <c r="W29" i="1"/>
  <c r="X29" i="1"/>
  <c r="Y29" i="1"/>
  <c r="Z29" i="1"/>
  <c r="AC29" i="1"/>
  <c r="AE29" i="1"/>
  <c r="AF29" i="1"/>
  <c r="AJ29" i="1"/>
  <c r="I29" i="1" s="1"/>
  <c r="AK29" i="1"/>
  <c r="J29" i="1"/>
  <c r="AY29" i="1"/>
  <c r="BE29" i="1"/>
  <c r="K30" i="1"/>
  <c r="AG30" i="1"/>
  <c r="M30" i="1"/>
  <c r="BA30" i="1" s="1"/>
  <c r="U30" i="1"/>
  <c r="W30" i="1"/>
  <c r="X30" i="1"/>
  <c r="Y30" i="1"/>
  <c r="Z30" i="1"/>
  <c r="AC30" i="1"/>
  <c r="AE30" i="1"/>
  <c r="AF30" i="1"/>
  <c r="AJ30" i="1"/>
  <c r="AR30" i="1"/>
  <c r="AK30" i="1"/>
  <c r="AY30" i="1"/>
  <c r="BE30" i="1"/>
  <c r="K31" i="1"/>
  <c r="AG31" i="1"/>
  <c r="M31" i="1"/>
  <c r="BA31" i="1"/>
  <c r="U31" i="1"/>
  <c r="W31" i="1"/>
  <c r="X31" i="1"/>
  <c r="Y31" i="1"/>
  <c r="Z31" i="1"/>
  <c r="AC31" i="1"/>
  <c r="AE31" i="1"/>
  <c r="AF31" i="1"/>
  <c r="AJ31" i="1"/>
  <c r="BC31" i="1" s="1"/>
  <c r="AA31" i="1" s="1"/>
  <c r="AK31" i="1"/>
  <c r="BD31" i="1"/>
  <c r="AB31" i="1"/>
  <c r="AY31" i="1"/>
  <c r="BE31" i="1"/>
  <c r="K32" i="1"/>
  <c r="AG32" i="1" s="1"/>
  <c r="M32" i="1"/>
  <c r="BA32" i="1"/>
  <c r="U32" i="1"/>
  <c r="W32" i="1"/>
  <c r="X32" i="1"/>
  <c r="Y32" i="1"/>
  <c r="Z32" i="1"/>
  <c r="AC32" i="1"/>
  <c r="AE32" i="1"/>
  <c r="AF32" i="1"/>
  <c r="AJ32" i="1"/>
  <c r="AR32" i="1"/>
  <c r="AK32" i="1"/>
  <c r="J32" i="1" s="1"/>
  <c r="AY32" i="1"/>
  <c r="BE32" i="1"/>
  <c r="K33" i="1"/>
  <c r="AG33" i="1"/>
  <c r="M33" i="1"/>
  <c r="BA33" i="1"/>
  <c r="U33" i="1"/>
  <c r="W33" i="1"/>
  <c r="X33" i="1"/>
  <c r="Y33" i="1"/>
  <c r="Z33" i="1"/>
  <c r="AC33" i="1"/>
  <c r="AE33" i="1"/>
  <c r="AF33" i="1"/>
  <c r="AJ33" i="1"/>
  <c r="BC33" i="1" s="1"/>
  <c r="AA33" i="1" s="1"/>
  <c r="AK33" i="1"/>
  <c r="AY33" i="1"/>
  <c r="BE33" i="1"/>
  <c r="K34" i="1"/>
  <c r="AG34" i="1"/>
  <c r="M34" i="1"/>
  <c r="BA34" i="1" s="1"/>
  <c r="U34" i="1"/>
  <c r="W34" i="1"/>
  <c r="X34" i="1"/>
  <c r="Y34" i="1"/>
  <c r="Z34" i="1"/>
  <c r="AC34" i="1"/>
  <c r="AE34" i="1"/>
  <c r="AF34" i="1"/>
  <c r="AJ34" i="1"/>
  <c r="BC34" i="1" s="1"/>
  <c r="AA34" i="1" s="1"/>
  <c r="AK34" i="1"/>
  <c r="BD34" i="1" s="1"/>
  <c r="AB34" i="1" s="1"/>
  <c r="AY34" i="1"/>
  <c r="BE34" i="1"/>
  <c r="K35" i="1"/>
  <c r="AG35" i="1" s="1"/>
  <c r="M35" i="1"/>
  <c r="BA35" i="1"/>
  <c r="U35" i="1"/>
  <c r="W35" i="1"/>
  <c r="X35" i="1"/>
  <c r="Y35" i="1"/>
  <c r="Z35" i="1"/>
  <c r="AC35" i="1"/>
  <c r="AE35" i="1"/>
  <c r="AF35" i="1"/>
  <c r="AJ35" i="1"/>
  <c r="BC35" i="1"/>
  <c r="AA35" i="1" s="1"/>
  <c r="AK35" i="1"/>
  <c r="AY35" i="1"/>
  <c r="BE35" i="1"/>
  <c r="K36" i="1"/>
  <c r="AG36" i="1"/>
  <c r="M36" i="1"/>
  <c r="BA36" i="1"/>
  <c r="U36" i="1"/>
  <c r="W36" i="1"/>
  <c r="X36" i="1"/>
  <c r="Y36" i="1"/>
  <c r="Z36" i="1"/>
  <c r="AC36" i="1"/>
  <c r="AE36" i="1"/>
  <c r="AF36" i="1"/>
  <c r="AJ36" i="1"/>
  <c r="AR36" i="1" s="1"/>
  <c r="AK36" i="1"/>
  <c r="BD36" i="1" s="1"/>
  <c r="AB36" i="1" s="1"/>
  <c r="AY36" i="1"/>
  <c r="BE36" i="1"/>
  <c r="K37" i="1"/>
  <c r="AG37" i="1" s="1"/>
  <c r="M37" i="1"/>
  <c r="BA37" i="1"/>
  <c r="U37" i="1"/>
  <c r="W37" i="1"/>
  <c r="X37" i="1"/>
  <c r="Y37" i="1"/>
  <c r="Z37" i="1"/>
  <c r="AC37" i="1"/>
  <c r="AE37" i="1"/>
  <c r="AF37" i="1"/>
  <c r="AJ37" i="1"/>
  <c r="BC37" i="1" s="1"/>
  <c r="AA37" i="1" s="1"/>
  <c r="AK37" i="1"/>
  <c r="BD37" i="1"/>
  <c r="AB37" i="1" s="1"/>
  <c r="AY37" i="1"/>
  <c r="BE37" i="1"/>
  <c r="K38" i="1"/>
  <c r="M38" i="1"/>
  <c r="BA38" i="1"/>
  <c r="U38" i="1"/>
  <c r="W38" i="1"/>
  <c r="X38" i="1"/>
  <c r="Y38" i="1"/>
  <c r="Z38" i="1"/>
  <c r="AC38" i="1"/>
  <c r="AE38" i="1"/>
  <c r="AF38" i="1"/>
  <c r="AJ38" i="1"/>
  <c r="AR38" i="1"/>
  <c r="AK38" i="1"/>
  <c r="AY38" i="1"/>
  <c r="BE38" i="1"/>
  <c r="K39" i="1"/>
  <c r="AG39" i="1" s="1"/>
  <c r="M39" i="1"/>
  <c r="BA39" i="1" s="1"/>
  <c r="U39" i="1"/>
  <c r="W39" i="1"/>
  <c r="X39" i="1"/>
  <c r="Y39" i="1"/>
  <c r="Z39" i="1"/>
  <c r="AC39" i="1"/>
  <c r="AE39" i="1"/>
  <c r="AF39" i="1"/>
  <c r="AJ39" i="1"/>
  <c r="BC39" i="1" s="1"/>
  <c r="AA39" i="1" s="1"/>
  <c r="AK39" i="1"/>
  <c r="J39" i="1" s="1"/>
  <c r="AY39" i="1"/>
  <c r="BE39" i="1"/>
  <c r="K40" i="1"/>
  <c r="AG40" i="1"/>
  <c r="M40" i="1"/>
  <c r="BA40" i="1" s="1"/>
  <c r="U40" i="1"/>
  <c r="W40" i="1"/>
  <c r="X40" i="1"/>
  <c r="Y40" i="1"/>
  <c r="Z40" i="1"/>
  <c r="AC40" i="1"/>
  <c r="AE40" i="1"/>
  <c r="AF40" i="1"/>
  <c r="AJ40" i="1"/>
  <c r="AK40" i="1"/>
  <c r="J40" i="1" s="1"/>
  <c r="AY40" i="1"/>
  <c r="BE40" i="1"/>
  <c r="K41" i="1"/>
  <c r="AG41" i="1" s="1"/>
  <c r="M41" i="1"/>
  <c r="BA41" i="1"/>
  <c r="U41" i="1"/>
  <c r="W41" i="1"/>
  <c r="X41" i="1"/>
  <c r="Y41" i="1"/>
  <c r="Z41" i="1"/>
  <c r="AC41" i="1"/>
  <c r="AE41" i="1"/>
  <c r="AF41" i="1"/>
  <c r="AJ41" i="1"/>
  <c r="I41" i="1" s="1"/>
  <c r="AK41" i="1"/>
  <c r="J41" i="1" s="1"/>
  <c r="AY41" i="1"/>
  <c r="BE41" i="1"/>
  <c r="K42" i="1"/>
  <c r="AG42" i="1"/>
  <c r="M42" i="1"/>
  <c r="BA42" i="1" s="1"/>
  <c r="U42" i="1"/>
  <c r="W42" i="1"/>
  <c r="X42" i="1"/>
  <c r="Y42" i="1"/>
  <c r="Z42" i="1"/>
  <c r="AC42" i="1"/>
  <c r="AE42" i="1"/>
  <c r="AF42" i="1"/>
  <c r="AJ42" i="1"/>
  <c r="AR42" i="1" s="1"/>
  <c r="AK42" i="1"/>
  <c r="AS42" i="1" s="1"/>
  <c r="AY42" i="1"/>
  <c r="BE42" i="1"/>
  <c r="K43" i="1"/>
  <c r="AG43" i="1"/>
  <c r="M43" i="1"/>
  <c r="BA43" i="1" s="1"/>
  <c r="U43" i="1"/>
  <c r="W43" i="1"/>
  <c r="X43" i="1"/>
  <c r="Y43" i="1"/>
  <c r="Z43" i="1"/>
  <c r="AC43" i="1"/>
  <c r="AE43" i="1"/>
  <c r="AF43" i="1"/>
  <c r="AJ43" i="1"/>
  <c r="BC43" i="1" s="1"/>
  <c r="AA43" i="1" s="1"/>
  <c r="AK43" i="1"/>
  <c r="BD43" i="1" s="1"/>
  <c r="AB43" i="1" s="1"/>
  <c r="AY43" i="1"/>
  <c r="BE43" i="1"/>
  <c r="K44" i="1"/>
  <c r="AG44" i="1" s="1"/>
  <c r="M44" i="1"/>
  <c r="BA44" i="1"/>
  <c r="U44" i="1"/>
  <c r="W44" i="1"/>
  <c r="X44" i="1"/>
  <c r="Y44" i="1"/>
  <c r="Z44" i="1"/>
  <c r="AC44" i="1"/>
  <c r="AE44" i="1"/>
  <c r="AF44" i="1"/>
  <c r="AJ44" i="1"/>
  <c r="AR44" i="1"/>
  <c r="AK44" i="1"/>
  <c r="J44" i="1" s="1"/>
  <c r="AY44" i="1"/>
  <c r="BE44" i="1"/>
  <c r="K45" i="1"/>
  <c r="AG45" i="1"/>
  <c r="M45" i="1"/>
  <c r="BA45" i="1"/>
  <c r="U45" i="1"/>
  <c r="W45" i="1"/>
  <c r="X45" i="1"/>
  <c r="Y45" i="1"/>
  <c r="Z45" i="1"/>
  <c r="AC45" i="1"/>
  <c r="AE45" i="1"/>
  <c r="AF45" i="1"/>
  <c r="AJ45" i="1"/>
  <c r="AR45" i="1" s="1"/>
  <c r="AK45" i="1"/>
  <c r="AY45" i="1"/>
  <c r="BE45" i="1"/>
  <c r="K46" i="1"/>
  <c r="AG46" i="1" s="1"/>
  <c r="M46" i="1"/>
  <c r="BA46" i="1"/>
  <c r="U46" i="1"/>
  <c r="W46" i="1"/>
  <c r="X46" i="1"/>
  <c r="Y46" i="1"/>
  <c r="Z46" i="1"/>
  <c r="AC46" i="1"/>
  <c r="AE46" i="1"/>
  <c r="AF46" i="1"/>
  <c r="AJ46" i="1"/>
  <c r="BC46" i="1"/>
  <c r="AA46" i="1" s="1"/>
  <c r="AK46" i="1"/>
  <c r="BD46" i="1"/>
  <c r="AB46" i="1" s="1"/>
  <c r="AY46" i="1"/>
  <c r="BE46" i="1"/>
  <c r="K47" i="1"/>
  <c r="AG47" i="1"/>
  <c r="M47" i="1"/>
  <c r="BA47" i="1" s="1"/>
  <c r="U47" i="1"/>
  <c r="W47" i="1"/>
  <c r="X47" i="1"/>
  <c r="Y47" i="1"/>
  <c r="Z47" i="1"/>
  <c r="AC47" i="1"/>
  <c r="AE47" i="1"/>
  <c r="AF47" i="1"/>
  <c r="AJ47" i="1"/>
  <c r="I47" i="1" s="1"/>
  <c r="AK47" i="1"/>
  <c r="AY47" i="1"/>
  <c r="BE47" i="1"/>
  <c r="K48" i="1"/>
  <c r="AG48" i="1" s="1"/>
  <c r="M48" i="1"/>
  <c r="BA48" i="1"/>
  <c r="U48" i="1"/>
  <c r="W48" i="1"/>
  <c r="X48" i="1"/>
  <c r="Y48" i="1"/>
  <c r="Z48" i="1"/>
  <c r="AC48" i="1"/>
  <c r="AE48" i="1"/>
  <c r="AF48" i="1"/>
  <c r="AJ48" i="1"/>
  <c r="AR48" i="1" s="1"/>
  <c r="AK48" i="1"/>
  <c r="AY48" i="1"/>
  <c r="BE48" i="1"/>
  <c r="K49" i="1"/>
  <c r="AG49" i="1" s="1"/>
  <c r="M49" i="1"/>
  <c r="BA49" i="1" s="1"/>
  <c r="U49" i="1"/>
  <c r="W49" i="1"/>
  <c r="X49" i="1"/>
  <c r="Y49" i="1"/>
  <c r="Z49" i="1"/>
  <c r="AC49" i="1"/>
  <c r="AE49" i="1"/>
  <c r="AF49" i="1"/>
  <c r="AJ49" i="1"/>
  <c r="AR49" i="1"/>
  <c r="AK49" i="1"/>
  <c r="AS49" i="1"/>
  <c r="AX49" i="1" s="1"/>
  <c r="AY49" i="1"/>
  <c r="BE49" i="1"/>
  <c r="K50" i="1"/>
  <c r="AG50" i="1"/>
  <c r="M50" i="1"/>
  <c r="BA50" i="1" s="1"/>
  <c r="U50" i="1"/>
  <c r="W50" i="1"/>
  <c r="X50" i="1"/>
  <c r="Y50" i="1"/>
  <c r="Z50" i="1"/>
  <c r="AC50" i="1"/>
  <c r="AE50" i="1"/>
  <c r="AF50" i="1"/>
  <c r="AJ50" i="1"/>
  <c r="AK50" i="1"/>
  <c r="AY50" i="1"/>
  <c r="BE50" i="1"/>
  <c r="K51" i="1"/>
  <c r="AG51" i="1"/>
  <c r="M51" i="1"/>
  <c r="BA51" i="1" s="1"/>
  <c r="U51" i="1"/>
  <c r="W51" i="1"/>
  <c r="X51" i="1"/>
  <c r="Y51" i="1"/>
  <c r="Z51" i="1"/>
  <c r="AC51" i="1"/>
  <c r="AE51" i="1"/>
  <c r="AF51" i="1"/>
  <c r="AJ51" i="1"/>
  <c r="BC51" i="1" s="1"/>
  <c r="AA51" i="1" s="1"/>
  <c r="AK51" i="1"/>
  <c r="J51" i="1" s="1"/>
  <c r="AY51" i="1"/>
  <c r="BE51" i="1"/>
  <c r="K52" i="1"/>
  <c r="AG52" i="1"/>
  <c r="M52" i="1"/>
  <c r="BA52" i="1" s="1"/>
  <c r="U52" i="1"/>
  <c r="W52" i="1"/>
  <c r="X52" i="1"/>
  <c r="Y52" i="1"/>
  <c r="Z52" i="1"/>
  <c r="AC52" i="1"/>
  <c r="AE52" i="1"/>
  <c r="AF52" i="1"/>
  <c r="AJ52" i="1"/>
  <c r="BC52" i="1" s="1"/>
  <c r="AA52" i="1" s="1"/>
  <c r="AK52" i="1"/>
  <c r="J52" i="1" s="1"/>
  <c r="AY52" i="1"/>
  <c r="BE52" i="1"/>
  <c r="K54" i="1"/>
  <c r="AG54" i="1"/>
  <c r="M54" i="1"/>
  <c r="BA54" i="1"/>
  <c r="U54" i="1"/>
  <c r="Y54" i="1"/>
  <c r="Z54" i="1"/>
  <c r="AA54" i="1"/>
  <c r="AB54" i="1"/>
  <c r="AC54" i="1"/>
  <c r="AE54" i="1"/>
  <c r="AF54" i="1"/>
  <c r="AJ54" i="1"/>
  <c r="I54" i="1" s="1"/>
  <c r="AK54" i="1"/>
  <c r="BD54" i="1" s="1"/>
  <c r="X54" i="1" s="1"/>
  <c r="AY54" i="1"/>
  <c r="BE54" i="1"/>
  <c r="K55" i="1"/>
  <c r="M55" i="1"/>
  <c r="BA55" i="1" s="1"/>
  <c r="U55" i="1"/>
  <c r="Y55" i="1"/>
  <c r="Z55" i="1"/>
  <c r="AA55" i="1"/>
  <c r="AB55" i="1"/>
  <c r="AC55" i="1"/>
  <c r="AE55" i="1"/>
  <c r="AF55" i="1"/>
  <c r="AJ55" i="1"/>
  <c r="AK55" i="1"/>
  <c r="BD55" i="1" s="1"/>
  <c r="X55" i="1" s="1"/>
  <c r="AY55" i="1"/>
  <c r="BE55" i="1"/>
  <c r="K56" i="1"/>
  <c r="AG56" i="1" s="1"/>
  <c r="M56" i="1"/>
  <c r="BA56" i="1" s="1"/>
  <c r="U56" i="1"/>
  <c r="Y56" i="1"/>
  <c r="Z56" i="1"/>
  <c r="AA56" i="1"/>
  <c r="AB56" i="1"/>
  <c r="AC56" i="1"/>
  <c r="AE56" i="1"/>
  <c r="AF56" i="1"/>
  <c r="AJ56" i="1"/>
  <c r="AK56" i="1"/>
  <c r="AS56" i="1" s="1"/>
  <c r="AY56" i="1"/>
  <c r="BE56" i="1"/>
  <c r="K57" i="1"/>
  <c r="AG57" i="1"/>
  <c r="M57" i="1"/>
  <c r="BA57" i="1" s="1"/>
  <c r="U57" i="1"/>
  <c r="Y57" i="1"/>
  <c r="Z57" i="1"/>
  <c r="AA57" i="1"/>
  <c r="AB57" i="1"/>
  <c r="AC57" i="1"/>
  <c r="AE57" i="1"/>
  <c r="AF57" i="1"/>
  <c r="AJ57" i="1"/>
  <c r="I57" i="1" s="1"/>
  <c r="AK57" i="1"/>
  <c r="AS57" i="1"/>
  <c r="AY57" i="1"/>
  <c r="BE57" i="1"/>
  <c r="K58" i="1"/>
  <c r="AG58" i="1" s="1"/>
  <c r="M58" i="1"/>
  <c r="BA58" i="1" s="1"/>
  <c r="U58" i="1"/>
  <c r="Y58" i="1"/>
  <c r="Z58" i="1"/>
  <c r="AA58" i="1"/>
  <c r="AB58" i="1"/>
  <c r="AC58" i="1"/>
  <c r="AE58" i="1"/>
  <c r="AF58" i="1"/>
  <c r="AJ58" i="1"/>
  <c r="I58" i="1"/>
  <c r="AK58" i="1"/>
  <c r="AY58" i="1"/>
  <c r="BE58" i="1"/>
  <c r="K59" i="1"/>
  <c r="M59" i="1"/>
  <c r="BA59" i="1" s="1"/>
  <c r="U59" i="1"/>
  <c r="Y59" i="1"/>
  <c r="Z59" i="1"/>
  <c r="AA59" i="1"/>
  <c r="AB59" i="1"/>
  <c r="AC59" i="1"/>
  <c r="AE59" i="1"/>
  <c r="AF59" i="1"/>
  <c r="AJ59" i="1"/>
  <c r="BC59" i="1"/>
  <c r="W59" i="1" s="1"/>
  <c r="AK59" i="1"/>
  <c r="AS59" i="1" s="1"/>
  <c r="AY59" i="1"/>
  <c r="BE59" i="1"/>
  <c r="K60" i="1"/>
  <c r="AG60" i="1"/>
  <c r="M60" i="1"/>
  <c r="BA60" i="1" s="1"/>
  <c r="U60" i="1"/>
  <c r="Y60" i="1"/>
  <c r="Z60" i="1"/>
  <c r="AA60" i="1"/>
  <c r="AB60" i="1"/>
  <c r="AC60" i="1"/>
  <c r="AE60" i="1"/>
  <c r="AF60" i="1"/>
  <c r="AJ60" i="1"/>
  <c r="I60" i="1" s="1"/>
  <c r="AK60" i="1"/>
  <c r="BD60" i="1"/>
  <c r="X60" i="1" s="1"/>
  <c r="AY60" i="1"/>
  <c r="BE60" i="1"/>
  <c r="K61" i="1"/>
  <c r="AG61" i="1"/>
  <c r="M61" i="1"/>
  <c r="BA61" i="1" s="1"/>
  <c r="U61" i="1"/>
  <c r="Y61" i="1"/>
  <c r="Z61" i="1"/>
  <c r="AA61" i="1"/>
  <c r="AB61" i="1"/>
  <c r="AC61" i="1"/>
  <c r="AE61" i="1"/>
  <c r="AF61" i="1"/>
  <c r="AJ61" i="1"/>
  <c r="AK61" i="1"/>
  <c r="BD61" i="1" s="1"/>
  <c r="X61" i="1" s="1"/>
  <c r="AY61" i="1"/>
  <c r="BE61" i="1"/>
  <c r="K62" i="1"/>
  <c r="AG62" i="1" s="1"/>
  <c r="M62" i="1"/>
  <c r="BA62" i="1" s="1"/>
  <c r="U62" i="1"/>
  <c r="Y62" i="1"/>
  <c r="Z62" i="1"/>
  <c r="AA62" i="1"/>
  <c r="AB62" i="1"/>
  <c r="AC62" i="1"/>
  <c r="AE62" i="1"/>
  <c r="AF62" i="1"/>
  <c r="AJ62" i="1"/>
  <c r="AK62" i="1"/>
  <c r="J62" i="1" s="1"/>
  <c r="AY62" i="1"/>
  <c r="BE62" i="1"/>
  <c r="K63" i="1"/>
  <c r="AG63" i="1"/>
  <c r="M63" i="1"/>
  <c r="BA63" i="1"/>
  <c r="U63" i="1"/>
  <c r="Y63" i="1"/>
  <c r="Z63" i="1"/>
  <c r="AA63" i="1"/>
  <c r="AB63" i="1"/>
  <c r="AC63" i="1"/>
  <c r="AE63" i="1"/>
  <c r="AF63" i="1"/>
  <c r="AJ63" i="1"/>
  <c r="BC63" i="1" s="1"/>
  <c r="W63" i="1"/>
  <c r="AK63" i="1"/>
  <c r="AS63" i="1" s="1"/>
  <c r="AY63" i="1"/>
  <c r="BE63" i="1"/>
  <c r="K64" i="1"/>
  <c r="AG64" i="1"/>
  <c r="M64" i="1"/>
  <c r="U64" i="1"/>
  <c r="Y64" i="1"/>
  <c r="Z64" i="1"/>
  <c r="AA64" i="1"/>
  <c r="AB64" i="1"/>
  <c r="AC64" i="1"/>
  <c r="AE64" i="1"/>
  <c r="AF64" i="1"/>
  <c r="AJ64" i="1"/>
  <c r="BC64" i="1" s="1"/>
  <c r="W64" i="1" s="1"/>
  <c r="AK64" i="1"/>
  <c r="AY64" i="1"/>
  <c r="BE64" i="1"/>
  <c r="K65" i="1"/>
  <c r="AG65" i="1" s="1"/>
  <c r="M65" i="1"/>
  <c r="BA65" i="1" s="1"/>
  <c r="U65" i="1"/>
  <c r="Y65" i="1"/>
  <c r="Z65" i="1"/>
  <c r="AA65" i="1"/>
  <c r="AB65" i="1"/>
  <c r="AC65" i="1"/>
  <c r="AE65" i="1"/>
  <c r="AF65" i="1"/>
  <c r="AJ65" i="1"/>
  <c r="BC65" i="1"/>
  <c r="W65" i="1" s="1"/>
  <c r="AK65" i="1"/>
  <c r="AS65" i="1"/>
  <c r="AY65" i="1"/>
  <c r="BE65" i="1"/>
  <c r="K66" i="1"/>
  <c r="AG66" i="1" s="1"/>
  <c r="M66" i="1"/>
  <c r="BA66" i="1" s="1"/>
  <c r="U66" i="1"/>
  <c r="Y66" i="1"/>
  <c r="Z66" i="1"/>
  <c r="AA66" i="1"/>
  <c r="AB66" i="1"/>
  <c r="AC66" i="1"/>
  <c r="AE66" i="1"/>
  <c r="AF66" i="1"/>
  <c r="AJ66" i="1"/>
  <c r="AK66" i="1"/>
  <c r="BD66" i="1" s="1"/>
  <c r="X66" i="1" s="1"/>
  <c r="AY66" i="1"/>
  <c r="BE66" i="1"/>
  <c r="K67" i="1"/>
  <c r="AG67" i="1"/>
  <c r="M67" i="1"/>
  <c r="BA67" i="1"/>
  <c r="U67" i="1"/>
  <c r="Y67" i="1"/>
  <c r="Z67" i="1"/>
  <c r="AA67" i="1"/>
  <c r="AB67" i="1"/>
  <c r="AC67" i="1"/>
  <c r="AE67" i="1"/>
  <c r="AF67" i="1"/>
  <c r="AJ67" i="1"/>
  <c r="BC67" i="1"/>
  <c r="W67" i="1" s="1"/>
  <c r="AK67" i="1"/>
  <c r="AY67" i="1"/>
  <c r="BE67" i="1"/>
  <c r="K68" i="1"/>
  <c r="AG68" i="1"/>
  <c r="M68" i="1"/>
  <c r="BA68" i="1"/>
  <c r="U68" i="1"/>
  <c r="Y68" i="1"/>
  <c r="Z68" i="1"/>
  <c r="AA68" i="1"/>
  <c r="AB68" i="1"/>
  <c r="AC68" i="1"/>
  <c r="AE68" i="1"/>
  <c r="AF68" i="1"/>
  <c r="AJ68" i="1"/>
  <c r="BC68" i="1" s="1"/>
  <c r="W68" i="1" s="1"/>
  <c r="AK68" i="1"/>
  <c r="J68" i="1" s="1"/>
  <c r="AY68" i="1"/>
  <c r="BE68" i="1"/>
  <c r="K69" i="1"/>
  <c r="AG69" i="1" s="1"/>
  <c r="M69" i="1"/>
  <c r="BA69" i="1"/>
  <c r="U69" i="1"/>
  <c r="Y69" i="1"/>
  <c r="Z69" i="1"/>
  <c r="AA69" i="1"/>
  <c r="AB69" i="1"/>
  <c r="AC69" i="1"/>
  <c r="AE69" i="1"/>
  <c r="AF69" i="1"/>
  <c r="AJ69" i="1"/>
  <c r="AR69" i="1" s="1"/>
  <c r="AK69" i="1"/>
  <c r="AS69" i="1" s="1"/>
  <c r="AY69" i="1"/>
  <c r="BE69" i="1"/>
  <c r="K70" i="1"/>
  <c r="AG70" i="1"/>
  <c r="M70" i="1"/>
  <c r="BA70" i="1" s="1"/>
  <c r="U70" i="1"/>
  <c r="Y70" i="1"/>
  <c r="Z70" i="1"/>
  <c r="AA70" i="1"/>
  <c r="AB70" i="1"/>
  <c r="AC70" i="1"/>
  <c r="AE70" i="1"/>
  <c r="AF70" i="1"/>
  <c r="AJ70" i="1"/>
  <c r="AR70" i="1" s="1"/>
  <c r="AK70" i="1"/>
  <c r="J70" i="1" s="1"/>
  <c r="AY70" i="1"/>
  <c r="BE70" i="1"/>
  <c r="K71" i="1"/>
  <c r="AG71" i="1"/>
  <c r="M71" i="1"/>
  <c r="BA71" i="1" s="1"/>
  <c r="U71" i="1"/>
  <c r="Y71" i="1"/>
  <c r="Z71" i="1"/>
  <c r="AA71" i="1"/>
  <c r="AB71" i="1"/>
  <c r="AC71" i="1"/>
  <c r="AE71" i="1"/>
  <c r="AF71" i="1"/>
  <c r="AJ71" i="1"/>
  <c r="BC71" i="1" s="1"/>
  <c r="W71" i="1" s="1"/>
  <c r="AK71" i="1"/>
  <c r="AS71" i="1" s="1"/>
  <c r="AY71" i="1"/>
  <c r="BE71" i="1"/>
  <c r="K73" i="1"/>
  <c r="AG73" i="1"/>
  <c r="AP72" i="1" s="1"/>
  <c r="M73" i="1"/>
  <c r="U73" i="1"/>
  <c r="Y73" i="1"/>
  <c r="Z73" i="1"/>
  <c r="AA73" i="1"/>
  <c r="AB73" i="1"/>
  <c r="AC73" i="1"/>
  <c r="AE73" i="1"/>
  <c r="AN72" i="1" s="1"/>
  <c r="AF73" i="1"/>
  <c r="AO72" i="1" s="1"/>
  <c r="AJ73" i="1"/>
  <c r="AR73" i="1"/>
  <c r="AK73" i="1"/>
  <c r="AS73" i="1" s="1"/>
  <c r="AY73" i="1"/>
  <c r="BE73" i="1"/>
  <c r="K75" i="1"/>
  <c r="AG75" i="1" s="1"/>
  <c r="M75" i="1"/>
  <c r="BA75" i="1" s="1"/>
  <c r="U75" i="1"/>
  <c r="Y75" i="1"/>
  <c r="Z75" i="1"/>
  <c r="AA75" i="1"/>
  <c r="AB75" i="1"/>
  <c r="AC75" i="1"/>
  <c r="AE75" i="1"/>
  <c r="AN74" i="1" s="1"/>
  <c r="AF75" i="1"/>
  <c r="AJ75" i="1"/>
  <c r="BC75" i="1" s="1"/>
  <c r="W75" i="1" s="1"/>
  <c r="AK75" i="1"/>
  <c r="J75" i="1" s="1"/>
  <c r="AY75" i="1"/>
  <c r="BE75" i="1"/>
  <c r="K76" i="1"/>
  <c r="M76" i="1"/>
  <c r="BA76" i="1" s="1"/>
  <c r="U76" i="1"/>
  <c r="Y76" i="1"/>
  <c r="Z76" i="1"/>
  <c r="AA76" i="1"/>
  <c r="AB76" i="1"/>
  <c r="AC76" i="1"/>
  <c r="AE76" i="1"/>
  <c r="AF76" i="1"/>
  <c r="AJ76" i="1"/>
  <c r="AK76" i="1"/>
  <c r="J76" i="1" s="1"/>
  <c r="AY76" i="1"/>
  <c r="BE76" i="1"/>
  <c r="K77" i="1"/>
  <c r="AG77" i="1"/>
  <c r="M77" i="1"/>
  <c r="BA77" i="1" s="1"/>
  <c r="U77" i="1"/>
  <c r="Y77" i="1"/>
  <c r="Z77" i="1"/>
  <c r="AA77" i="1"/>
  <c r="AB77" i="1"/>
  <c r="AC77" i="1"/>
  <c r="AE77" i="1"/>
  <c r="AF77" i="1"/>
  <c r="AJ77" i="1"/>
  <c r="AK77" i="1"/>
  <c r="J77" i="1"/>
  <c r="AY77" i="1"/>
  <c r="BE77" i="1"/>
  <c r="K78" i="1"/>
  <c r="AG78" i="1" s="1"/>
  <c r="M78" i="1"/>
  <c r="BA78" i="1" s="1"/>
  <c r="U78" i="1"/>
  <c r="Y78" i="1"/>
  <c r="Z78" i="1"/>
  <c r="AA78" i="1"/>
  <c r="AB78" i="1"/>
  <c r="AC78" i="1"/>
  <c r="AE78" i="1"/>
  <c r="AF78" i="1"/>
  <c r="AJ78" i="1"/>
  <c r="BC78" i="1"/>
  <c r="W78" i="1" s="1"/>
  <c r="AK78" i="1"/>
  <c r="J78" i="1" s="1"/>
  <c r="AY78" i="1"/>
  <c r="BE78" i="1"/>
  <c r="K79" i="1"/>
  <c r="AG79" i="1" s="1"/>
  <c r="M79" i="1"/>
  <c r="BA79" i="1" s="1"/>
  <c r="U79" i="1"/>
  <c r="Y79" i="1"/>
  <c r="Z79" i="1"/>
  <c r="AA79" i="1"/>
  <c r="AB79" i="1"/>
  <c r="AC79" i="1"/>
  <c r="AE79" i="1"/>
  <c r="AF79" i="1"/>
  <c r="AJ79" i="1"/>
  <c r="I79" i="1" s="1"/>
  <c r="AK79" i="1"/>
  <c r="BD79" i="1" s="1"/>
  <c r="X79" i="1" s="1"/>
  <c r="AY79" i="1"/>
  <c r="BE79" i="1"/>
  <c r="K80" i="1"/>
  <c r="AG80" i="1"/>
  <c r="M80" i="1"/>
  <c r="BA80" i="1" s="1"/>
  <c r="U80" i="1"/>
  <c r="Y80" i="1"/>
  <c r="Z80" i="1"/>
  <c r="AA80" i="1"/>
  <c r="AB80" i="1"/>
  <c r="AC80" i="1"/>
  <c r="AE80" i="1"/>
  <c r="AF80" i="1"/>
  <c r="AJ80" i="1"/>
  <c r="BC80" i="1" s="1"/>
  <c r="W80" i="1" s="1"/>
  <c r="AK80" i="1"/>
  <c r="BD80" i="1" s="1"/>
  <c r="X80" i="1"/>
  <c r="AY80" i="1"/>
  <c r="BE80" i="1"/>
  <c r="K82" i="1"/>
  <c r="K81" i="1" s="1"/>
  <c r="F15" i="2" s="1"/>
  <c r="I15" i="2" s="1"/>
  <c r="M82" i="1"/>
  <c r="BA82" i="1"/>
  <c r="U82" i="1"/>
  <c r="W82" i="1"/>
  <c r="X82" i="1"/>
  <c r="AA82" i="1"/>
  <c r="AB82" i="1"/>
  <c r="AC82" i="1"/>
  <c r="AE82" i="1"/>
  <c r="AN81" i="1"/>
  <c r="AF82" i="1"/>
  <c r="AO81" i="1" s="1"/>
  <c r="AJ82" i="1"/>
  <c r="AR82" i="1"/>
  <c r="AK82" i="1"/>
  <c r="AS82" i="1"/>
  <c r="AY82" i="1"/>
  <c r="BE82" i="1"/>
  <c r="K84" i="1"/>
  <c r="AG84" i="1" s="1"/>
  <c r="M84" i="1"/>
  <c r="BA84" i="1"/>
  <c r="U84" i="1"/>
  <c r="W84" i="1"/>
  <c r="X84" i="1"/>
  <c r="AA84" i="1"/>
  <c r="AB84" i="1"/>
  <c r="AC84" i="1"/>
  <c r="AE84" i="1"/>
  <c r="AF84" i="1"/>
  <c r="AJ84" i="1"/>
  <c r="BC84" i="1"/>
  <c r="Y84" i="1" s="1"/>
  <c r="AK84" i="1"/>
  <c r="AY84" i="1"/>
  <c r="BE84" i="1"/>
  <c r="K85" i="1"/>
  <c r="M85" i="1"/>
  <c r="BA85" i="1" s="1"/>
  <c r="U85" i="1"/>
  <c r="W85" i="1"/>
  <c r="X85" i="1"/>
  <c r="AA85" i="1"/>
  <c r="AB85" i="1"/>
  <c r="AC85" i="1"/>
  <c r="AE85" i="1"/>
  <c r="AF85" i="1"/>
  <c r="AJ85" i="1"/>
  <c r="BC85" i="1"/>
  <c r="Y85" i="1" s="1"/>
  <c r="AK85" i="1"/>
  <c r="AS85" i="1" s="1"/>
  <c r="AY85" i="1"/>
  <c r="BE85" i="1"/>
  <c r="K86" i="1"/>
  <c r="AG86" i="1" s="1"/>
  <c r="M86" i="1"/>
  <c r="BA86" i="1" s="1"/>
  <c r="U86" i="1"/>
  <c r="W86" i="1"/>
  <c r="X86" i="1"/>
  <c r="AA86" i="1"/>
  <c r="AB86" i="1"/>
  <c r="AC86" i="1"/>
  <c r="AE86" i="1"/>
  <c r="AF86" i="1"/>
  <c r="AJ86" i="1"/>
  <c r="I86" i="1"/>
  <c r="AK86" i="1"/>
  <c r="BD86" i="1" s="1"/>
  <c r="Z86" i="1" s="1"/>
  <c r="AY86" i="1"/>
  <c r="BE86" i="1"/>
  <c r="K87" i="1"/>
  <c r="AG87" i="1" s="1"/>
  <c r="M87" i="1"/>
  <c r="BA87" i="1" s="1"/>
  <c r="U87" i="1"/>
  <c r="W87" i="1"/>
  <c r="X87" i="1"/>
  <c r="AA87" i="1"/>
  <c r="AB87" i="1"/>
  <c r="AC87" i="1"/>
  <c r="AE87" i="1"/>
  <c r="AF87" i="1"/>
  <c r="AJ87" i="1"/>
  <c r="BC87" i="1"/>
  <c r="Y87" i="1" s="1"/>
  <c r="AK87" i="1"/>
  <c r="BD87" i="1" s="1"/>
  <c r="Z87" i="1" s="1"/>
  <c r="AY87" i="1"/>
  <c r="BE87" i="1"/>
  <c r="K88" i="1"/>
  <c r="AG88" i="1"/>
  <c r="M88" i="1"/>
  <c r="U88" i="1"/>
  <c r="W88" i="1"/>
  <c r="X88" i="1"/>
  <c r="AA88" i="1"/>
  <c r="AB88" i="1"/>
  <c r="AC88" i="1"/>
  <c r="AE88" i="1"/>
  <c r="AF88" i="1"/>
  <c r="AJ88" i="1"/>
  <c r="BC88" i="1" s="1"/>
  <c r="Y88" i="1" s="1"/>
  <c r="AK88" i="1"/>
  <c r="AS88" i="1" s="1"/>
  <c r="AY88" i="1"/>
  <c r="BE88" i="1"/>
  <c r="K89" i="1"/>
  <c r="AG89" i="1"/>
  <c r="M89" i="1"/>
  <c r="BA89" i="1" s="1"/>
  <c r="U89" i="1"/>
  <c r="W89" i="1"/>
  <c r="X89" i="1"/>
  <c r="AA89" i="1"/>
  <c r="AB89" i="1"/>
  <c r="AC89" i="1"/>
  <c r="AE89" i="1"/>
  <c r="AF89" i="1"/>
  <c r="AJ89" i="1"/>
  <c r="I89" i="1" s="1"/>
  <c r="AK89" i="1"/>
  <c r="AS89" i="1"/>
  <c r="AY89" i="1"/>
  <c r="BE89" i="1"/>
  <c r="K90" i="1"/>
  <c r="AG90" i="1" s="1"/>
  <c r="M90" i="1"/>
  <c r="BA90" i="1" s="1"/>
  <c r="U90" i="1"/>
  <c r="W90" i="1"/>
  <c r="X90" i="1"/>
  <c r="AA90" i="1"/>
  <c r="AB90" i="1"/>
  <c r="AC90" i="1"/>
  <c r="AE90" i="1"/>
  <c r="AF90" i="1"/>
  <c r="AJ90" i="1"/>
  <c r="BC90" i="1"/>
  <c r="Y90" i="1" s="1"/>
  <c r="AK90" i="1"/>
  <c r="J90" i="1" s="1"/>
  <c r="AY90" i="1"/>
  <c r="BE90" i="1"/>
  <c r="K91" i="1"/>
  <c r="AG91" i="1"/>
  <c r="M91" i="1"/>
  <c r="BA91" i="1" s="1"/>
  <c r="U91" i="1"/>
  <c r="W91" i="1"/>
  <c r="X91" i="1"/>
  <c r="AA91" i="1"/>
  <c r="AB91" i="1"/>
  <c r="AC91" i="1"/>
  <c r="AE91" i="1"/>
  <c r="AF91" i="1"/>
  <c r="AJ91" i="1"/>
  <c r="BC91" i="1" s="1"/>
  <c r="Y91" i="1" s="1"/>
  <c r="AK91" i="1"/>
  <c r="AS91" i="1" s="1"/>
  <c r="AY91" i="1"/>
  <c r="BE91" i="1"/>
  <c r="K92" i="1"/>
  <c r="AG92" i="1"/>
  <c r="M92" i="1"/>
  <c r="BA92" i="1" s="1"/>
  <c r="U92" i="1"/>
  <c r="W92" i="1"/>
  <c r="X92" i="1"/>
  <c r="AA92" i="1"/>
  <c r="AB92" i="1"/>
  <c r="AC92" i="1"/>
  <c r="AE92" i="1"/>
  <c r="AF92" i="1"/>
  <c r="AJ92" i="1"/>
  <c r="I92" i="1" s="1"/>
  <c r="AK92" i="1"/>
  <c r="BD92" i="1"/>
  <c r="Z92" i="1" s="1"/>
  <c r="AY92" i="1"/>
  <c r="BE92" i="1"/>
  <c r="K93" i="1"/>
  <c r="AG93" i="1" s="1"/>
  <c r="M93" i="1"/>
  <c r="BA93" i="1"/>
  <c r="U93" i="1"/>
  <c r="W93" i="1"/>
  <c r="X93" i="1"/>
  <c r="AA93" i="1"/>
  <c r="AB93" i="1"/>
  <c r="AC93" i="1"/>
  <c r="AE93" i="1"/>
  <c r="AF93" i="1"/>
  <c r="AJ93" i="1"/>
  <c r="BC93" i="1" s="1"/>
  <c r="Y93" i="1" s="1"/>
  <c r="AK93" i="1"/>
  <c r="AY93" i="1"/>
  <c r="BE93" i="1"/>
  <c r="K94" i="1"/>
  <c r="AG94" i="1"/>
  <c r="M94" i="1"/>
  <c r="BA94" i="1" s="1"/>
  <c r="U94" i="1"/>
  <c r="W94" i="1"/>
  <c r="X94" i="1"/>
  <c r="AA94" i="1"/>
  <c r="AB94" i="1"/>
  <c r="AC94" i="1"/>
  <c r="AE94" i="1"/>
  <c r="AF94" i="1"/>
  <c r="AJ94" i="1"/>
  <c r="I94" i="1" s="1"/>
  <c r="AK94" i="1"/>
  <c r="AY94" i="1"/>
  <c r="BE94" i="1"/>
  <c r="K95" i="1"/>
  <c r="AG95" i="1"/>
  <c r="M95" i="1"/>
  <c r="BA95" i="1"/>
  <c r="U95" i="1"/>
  <c r="W95" i="1"/>
  <c r="X95" i="1"/>
  <c r="AA95" i="1"/>
  <c r="AB95" i="1"/>
  <c r="AC95" i="1"/>
  <c r="AE95" i="1"/>
  <c r="AF95" i="1"/>
  <c r="AJ95" i="1"/>
  <c r="BC95" i="1" s="1"/>
  <c r="Y95" i="1" s="1"/>
  <c r="AK95" i="1"/>
  <c r="J95" i="1"/>
  <c r="AY95" i="1"/>
  <c r="BE95" i="1"/>
  <c r="K96" i="1"/>
  <c r="AG96" i="1" s="1"/>
  <c r="M96" i="1"/>
  <c r="BA96" i="1"/>
  <c r="U96" i="1"/>
  <c r="W96" i="1"/>
  <c r="X96" i="1"/>
  <c r="AA96" i="1"/>
  <c r="AB96" i="1"/>
  <c r="AC96" i="1"/>
  <c r="AE96" i="1"/>
  <c r="AF96" i="1"/>
  <c r="AJ96" i="1"/>
  <c r="BC96" i="1"/>
  <c r="Y96" i="1"/>
  <c r="AK96" i="1"/>
  <c r="J96" i="1"/>
  <c r="AY96" i="1"/>
  <c r="BE96" i="1"/>
  <c r="K97" i="1"/>
  <c r="AG97" i="1" s="1"/>
  <c r="M97" i="1"/>
  <c r="BA97" i="1"/>
  <c r="U97" i="1"/>
  <c r="W97" i="1"/>
  <c r="X97" i="1"/>
  <c r="AA97" i="1"/>
  <c r="AB97" i="1"/>
  <c r="AC97" i="1"/>
  <c r="AE97" i="1"/>
  <c r="AF97" i="1"/>
  <c r="AJ97" i="1"/>
  <c r="AR97" i="1"/>
  <c r="AK97" i="1"/>
  <c r="J97" i="1" s="1"/>
  <c r="AY97" i="1"/>
  <c r="BE97" i="1"/>
  <c r="K99" i="1"/>
  <c r="AG99" i="1"/>
  <c r="M99" i="1"/>
  <c r="BA99" i="1"/>
  <c r="U99" i="1"/>
  <c r="W99" i="1"/>
  <c r="X99" i="1"/>
  <c r="AA99" i="1"/>
  <c r="AB99" i="1"/>
  <c r="AC99" i="1"/>
  <c r="AE99" i="1"/>
  <c r="AF99" i="1"/>
  <c r="AJ99" i="1"/>
  <c r="AR99" i="1" s="1"/>
  <c r="AK99" i="1"/>
  <c r="BD99" i="1" s="1"/>
  <c r="Z99" i="1" s="1"/>
  <c r="AY99" i="1"/>
  <c r="BE99" i="1"/>
  <c r="K100" i="1"/>
  <c r="AG100" i="1" s="1"/>
  <c r="M100" i="1"/>
  <c r="BA100" i="1"/>
  <c r="U100" i="1"/>
  <c r="W100" i="1"/>
  <c r="X100" i="1"/>
  <c r="AA100" i="1"/>
  <c r="AB100" i="1"/>
  <c r="AC100" i="1"/>
  <c r="AE100" i="1"/>
  <c r="AF100" i="1"/>
  <c r="AJ100" i="1"/>
  <c r="BC100" i="1"/>
  <c r="Y100" i="1"/>
  <c r="AK100" i="1"/>
  <c r="J100" i="1"/>
  <c r="AY100" i="1"/>
  <c r="BE100" i="1"/>
  <c r="K101" i="1"/>
  <c r="AG101" i="1" s="1"/>
  <c r="M101" i="1"/>
  <c r="BA101" i="1"/>
  <c r="U101" i="1"/>
  <c r="W101" i="1"/>
  <c r="X101" i="1"/>
  <c r="AA101" i="1"/>
  <c r="AB101" i="1"/>
  <c r="AC101" i="1"/>
  <c r="AE101" i="1"/>
  <c r="AF101" i="1"/>
  <c r="AJ101" i="1"/>
  <c r="AK101" i="1"/>
  <c r="AY101" i="1"/>
  <c r="BE101" i="1"/>
  <c r="K102" i="1"/>
  <c r="AG102" i="1" s="1"/>
  <c r="M102" i="1"/>
  <c r="BA102" i="1"/>
  <c r="U102" i="1"/>
  <c r="W102" i="1"/>
  <c r="X102" i="1"/>
  <c r="AA102" i="1"/>
  <c r="AB102" i="1"/>
  <c r="AC102" i="1"/>
  <c r="AE102" i="1"/>
  <c r="AF102" i="1"/>
  <c r="AJ102" i="1"/>
  <c r="BC102" i="1"/>
  <c r="Y102" i="1" s="1"/>
  <c r="AK102" i="1"/>
  <c r="BD102" i="1"/>
  <c r="Z102" i="1"/>
  <c r="AY102" i="1"/>
  <c r="BE102" i="1"/>
  <c r="K103" i="1"/>
  <c r="AG103" i="1"/>
  <c r="M103" i="1"/>
  <c r="BA103" i="1" s="1"/>
  <c r="U103" i="1"/>
  <c r="W103" i="1"/>
  <c r="X103" i="1"/>
  <c r="AA103" i="1"/>
  <c r="AB103" i="1"/>
  <c r="AC103" i="1"/>
  <c r="AE103" i="1"/>
  <c r="AF103" i="1"/>
  <c r="AJ103" i="1"/>
  <c r="BC103" i="1"/>
  <c r="Y103" i="1" s="1"/>
  <c r="AK103" i="1"/>
  <c r="J103" i="1" s="1"/>
  <c r="AY103" i="1"/>
  <c r="BE103" i="1"/>
  <c r="K104" i="1"/>
  <c r="AG104" i="1"/>
  <c r="M104" i="1"/>
  <c r="BA104" i="1" s="1"/>
  <c r="U104" i="1"/>
  <c r="W104" i="1"/>
  <c r="X104" i="1"/>
  <c r="AA104" i="1"/>
  <c r="AB104" i="1"/>
  <c r="AC104" i="1"/>
  <c r="AE104" i="1"/>
  <c r="AF104" i="1"/>
  <c r="AJ104" i="1"/>
  <c r="I104" i="1" s="1"/>
  <c r="AK104" i="1"/>
  <c r="J104" i="1" s="1"/>
  <c r="AY104" i="1"/>
  <c r="BE104" i="1"/>
  <c r="K105" i="1"/>
  <c r="AG105" i="1"/>
  <c r="M105" i="1"/>
  <c r="BA105" i="1" s="1"/>
  <c r="U105" i="1"/>
  <c r="W105" i="1"/>
  <c r="X105" i="1"/>
  <c r="AA105" i="1"/>
  <c r="AB105" i="1"/>
  <c r="AC105" i="1"/>
  <c r="AE105" i="1"/>
  <c r="AF105" i="1"/>
  <c r="AJ105" i="1"/>
  <c r="AK105" i="1"/>
  <c r="AY105" i="1"/>
  <c r="BE105" i="1"/>
  <c r="K106" i="1"/>
  <c r="AG106" i="1"/>
  <c r="M106" i="1"/>
  <c r="BA106" i="1" s="1"/>
  <c r="U106" i="1"/>
  <c r="W106" i="1"/>
  <c r="X106" i="1"/>
  <c r="AA106" i="1"/>
  <c r="AB106" i="1"/>
  <c r="AC106" i="1"/>
  <c r="AE106" i="1"/>
  <c r="AF106" i="1"/>
  <c r="AJ106" i="1"/>
  <c r="AK106" i="1"/>
  <c r="BD106" i="1" s="1"/>
  <c r="Z106" i="1" s="1"/>
  <c r="AY106" i="1"/>
  <c r="BE106" i="1"/>
  <c r="K107" i="1"/>
  <c r="AG107" i="1" s="1"/>
  <c r="M107" i="1"/>
  <c r="BA107" i="1" s="1"/>
  <c r="U107" i="1"/>
  <c r="W107" i="1"/>
  <c r="X107" i="1"/>
  <c r="AA107" i="1"/>
  <c r="AB107" i="1"/>
  <c r="AC107" i="1"/>
  <c r="AE107" i="1"/>
  <c r="AF107" i="1"/>
  <c r="AJ107" i="1"/>
  <c r="AK107" i="1"/>
  <c r="AS107" i="1"/>
  <c r="AY107" i="1"/>
  <c r="BE107" i="1"/>
  <c r="K108" i="1"/>
  <c r="AG108" i="1"/>
  <c r="M108" i="1"/>
  <c r="BA108" i="1" s="1"/>
  <c r="U108" i="1"/>
  <c r="W108" i="1"/>
  <c r="X108" i="1"/>
  <c r="AA108" i="1"/>
  <c r="AB108" i="1"/>
  <c r="AC108" i="1"/>
  <c r="AE108" i="1"/>
  <c r="AF108" i="1"/>
  <c r="AJ108" i="1"/>
  <c r="I108" i="1"/>
  <c r="AK108" i="1"/>
  <c r="AY108" i="1"/>
  <c r="BE108" i="1"/>
  <c r="K109" i="1"/>
  <c r="AG109" i="1" s="1"/>
  <c r="M109" i="1"/>
  <c r="BA109" i="1"/>
  <c r="U109" i="1"/>
  <c r="W109" i="1"/>
  <c r="X109" i="1"/>
  <c r="AA109" i="1"/>
  <c r="AB109" i="1"/>
  <c r="AC109" i="1"/>
  <c r="AE109" i="1"/>
  <c r="AF109" i="1"/>
  <c r="AJ109" i="1"/>
  <c r="AR109" i="1" s="1"/>
  <c r="AK109" i="1"/>
  <c r="J109" i="1" s="1"/>
  <c r="AY109" i="1"/>
  <c r="BE109" i="1"/>
  <c r="K110" i="1"/>
  <c r="AG110" i="1"/>
  <c r="M110" i="1"/>
  <c r="BA110" i="1"/>
  <c r="U110" i="1"/>
  <c r="W110" i="1"/>
  <c r="X110" i="1"/>
  <c r="AA110" i="1"/>
  <c r="AB110" i="1"/>
  <c r="AC110" i="1"/>
  <c r="AE110" i="1"/>
  <c r="AF110" i="1"/>
  <c r="AJ110" i="1"/>
  <c r="I110" i="1" s="1"/>
  <c r="AK110" i="1"/>
  <c r="BD110" i="1" s="1"/>
  <c r="Z110" i="1" s="1"/>
  <c r="AY110" i="1"/>
  <c r="BE110" i="1"/>
  <c r="K111" i="1"/>
  <c r="AG111" i="1"/>
  <c r="M111" i="1"/>
  <c r="BA111" i="1"/>
  <c r="U111" i="1"/>
  <c r="W111" i="1"/>
  <c r="X111" i="1"/>
  <c r="AA111" i="1"/>
  <c r="AB111" i="1"/>
  <c r="AC111" i="1"/>
  <c r="AE111" i="1"/>
  <c r="AF111" i="1"/>
  <c r="AJ111" i="1"/>
  <c r="BC111" i="1" s="1"/>
  <c r="Y111" i="1" s="1"/>
  <c r="AK111" i="1"/>
  <c r="AY111" i="1"/>
  <c r="BE111" i="1"/>
  <c r="K112" i="1"/>
  <c r="AG112" i="1"/>
  <c r="M112" i="1"/>
  <c r="BA112" i="1" s="1"/>
  <c r="U112" i="1"/>
  <c r="W112" i="1"/>
  <c r="X112" i="1"/>
  <c r="AA112" i="1"/>
  <c r="AB112" i="1"/>
  <c r="AC112" i="1"/>
  <c r="AE112" i="1"/>
  <c r="AF112" i="1"/>
  <c r="AJ112" i="1"/>
  <c r="I112" i="1" s="1"/>
  <c r="AK112" i="1"/>
  <c r="J112" i="1"/>
  <c r="AY112" i="1"/>
  <c r="BE112" i="1"/>
  <c r="K113" i="1"/>
  <c r="M113" i="1"/>
  <c r="BA113" i="1"/>
  <c r="U113" i="1"/>
  <c r="W113" i="1"/>
  <c r="X113" i="1"/>
  <c r="AA113" i="1"/>
  <c r="AB113" i="1"/>
  <c r="AC113" i="1"/>
  <c r="AE113" i="1"/>
  <c r="AF113" i="1"/>
  <c r="AJ113" i="1"/>
  <c r="AK113" i="1"/>
  <c r="AS113" i="1"/>
  <c r="AY113" i="1"/>
  <c r="BE113" i="1"/>
  <c r="K114" i="1"/>
  <c r="AG114" i="1" s="1"/>
  <c r="M114" i="1"/>
  <c r="BA114" i="1" s="1"/>
  <c r="U114" i="1"/>
  <c r="W114" i="1"/>
  <c r="X114" i="1"/>
  <c r="AA114" i="1"/>
  <c r="AB114" i="1"/>
  <c r="AC114" i="1"/>
  <c r="AE114" i="1"/>
  <c r="AF114" i="1"/>
  <c r="AJ114" i="1"/>
  <c r="AK114" i="1"/>
  <c r="J114" i="1" s="1"/>
  <c r="AY114" i="1"/>
  <c r="BE114" i="1"/>
  <c r="K115" i="1"/>
  <c r="AG115" i="1"/>
  <c r="M115" i="1"/>
  <c r="BA115" i="1"/>
  <c r="U115" i="1"/>
  <c r="W115" i="1"/>
  <c r="X115" i="1"/>
  <c r="AA115" i="1"/>
  <c r="AB115" i="1"/>
  <c r="AC115" i="1"/>
  <c r="AE115" i="1"/>
  <c r="AF115" i="1"/>
  <c r="AJ115" i="1"/>
  <c r="BC115" i="1" s="1"/>
  <c r="Y115" i="1"/>
  <c r="AK115" i="1"/>
  <c r="J115" i="1" s="1"/>
  <c r="AY115" i="1"/>
  <c r="BE115" i="1"/>
  <c r="K116" i="1"/>
  <c r="AG116" i="1"/>
  <c r="M116" i="1"/>
  <c r="BA116" i="1"/>
  <c r="U116" i="1"/>
  <c r="W116" i="1"/>
  <c r="X116" i="1"/>
  <c r="AA116" i="1"/>
  <c r="AB116" i="1"/>
  <c r="AC116" i="1"/>
  <c r="AE116" i="1"/>
  <c r="AF116" i="1"/>
  <c r="AJ116" i="1"/>
  <c r="BC116" i="1" s="1"/>
  <c r="Y116" i="1" s="1"/>
  <c r="AK116" i="1"/>
  <c r="BD116" i="1" s="1"/>
  <c r="Z116" i="1" s="1"/>
  <c r="AY116" i="1"/>
  <c r="BE116" i="1"/>
  <c r="K117" i="1"/>
  <c r="AG117" i="1" s="1"/>
  <c r="M117" i="1"/>
  <c r="U117" i="1"/>
  <c r="W117" i="1"/>
  <c r="X117" i="1"/>
  <c r="AA117" i="1"/>
  <c r="AB117" i="1"/>
  <c r="AC117" i="1"/>
  <c r="AE117" i="1"/>
  <c r="AF117" i="1"/>
  <c r="AJ117" i="1"/>
  <c r="I117" i="1" s="1"/>
  <c r="AK117" i="1"/>
  <c r="J117" i="1" s="1"/>
  <c r="AY117" i="1"/>
  <c r="BE117" i="1"/>
  <c r="K118" i="1"/>
  <c r="AG118" i="1"/>
  <c r="M118" i="1"/>
  <c r="BA118" i="1" s="1"/>
  <c r="U118" i="1"/>
  <c r="W118" i="1"/>
  <c r="X118" i="1"/>
  <c r="AA118" i="1"/>
  <c r="AB118" i="1"/>
  <c r="AC118" i="1"/>
  <c r="AE118" i="1"/>
  <c r="AF118" i="1"/>
  <c r="AJ118" i="1"/>
  <c r="AK118" i="1"/>
  <c r="AS118" i="1"/>
  <c r="AY118" i="1"/>
  <c r="BE118" i="1"/>
  <c r="K119" i="1"/>
  <c r="AG119" i="1" s="1"/>
  <c r="M119" i="1"/>
  <c r="BA119" i="1"/>
  <c r="U119" i="1"/>
  <c r="W119" i="1"/>
  <c r="X119" i="1"/>
  <c r="AA119" i="1"/>
  <c r="AB119" i="1"/>
  <c r="AC119" i="1"/>
  <c r="AE119" i="1"/>
  <c r="AF119" i="1"/>
  <c r="AJ119" i="1"/>
  <c r="AK119" i="1"/>
  <c r="J119" i="1" s="1"/>
  <c r="AY119" i="1"/>
  <c r="BE119" i="1"/>
  <c r="K120" i="1"/>
  <c r="AG120" i="1" s="1"/>
  <c r="M120" i="1"/>
  <c r="BA120" i="1" s="1"/>
  <c r="U120" i="1"/>
  <c r="W120" i="1"/>
  <c r="X120" i="1"/>
  <c r="AA120" i="1"/>
  <c r="AB120" i="1"/>
  <c r="AC120" i="1"/>
  <c r="AE120" i="1"/>
  <c r="AF120" i="1"/>
  <c r="AJ120" i="1"/>
  <c r="I120" i="1" s="1"/>
  <c r="AK120" i="1"/>
  <c r="AS120" i="1"/>
  <c r="AY120" i="1"/>
  <c r="BE120" i="1"/>
  <c r="K121" i="1"/>
  <c r="AG121" i="1" s="1"/>
  <c r="M121" i="1"/>
  <c r="BA121" i="1" s="1"/>
  <c r="U121" i="1"/>
  <c r="W121" i="1"/>
  <c r="X121" i="1"/>
  <c r="AA121" i="1"/>
  <c r="AB121" i="1"/>
  <c r="AC121" i="1"/>
  <c r="AE121" i="1"/>
  <c r="AF121" i="1"/>
  <c r="AJ121" i="1"/>
  <c r="AK121" i="1"/>
  <c r="J121" i="1" s="1"/>
  <c r="AY121" i="1"/>
  <c r="BE121" i="1"/>
  <c r="K122" i="1"/>
  <c r="AG122" i="1"/>
  <c r="M122" i="1"/>
  <c r="BA122" i="1" s="1"/>
  <c r="U122" i="1"/>
  <c r="W122" i="1"/>
  <c r="X122" i="1"/>
  <c r="AA122" i="1"/>
  <c r="AB122" i="1"/>
  <c r="AC122" i="1"/>
  <c r="AE122" i="1"/>
  <c r="AF122" i="1"/>
  <c r="AJ122" i="1"/>
  <c r="I122" i="1" s="1"/>
  <c r="AK122" i="1"/>
  <c r="BD122" i="1"/>
  <c r="Z122" i="1" s="1"/>
  <c r="AY122" i="1"/>
  <c r="BE122" i="1"/>
  <c r="K123" i="1"/>
  <c r="AG123" i="1"/>
  <c r="M123" i="1"/>
  <c r="BA123" i="1" s="1"/>
  <c r="U123" i="1"/>
  <c r="W123" i="1"/>
  <c r="X123" i="1"/>
  <c r="AA123" i="1"/>
  <c r="AB123" i="1"/>
  <c r="AC123" i="1"/>
  <c r="AE123" i="1"/>
  <c r="AF123" i="1"/>
  <c r="AJ123" i="1"/>
  <c r="AK123" i="1"/>
  <c r="J123" i="1"/>
  <c r="AY123" i="1"/>
  <c r="BE123" i="1"/>
  <c r="K124" i="1"/>
  <c r="M124" i="1"/>
  <c r="BA124" i="1" s="1"/>
  <c r="U124" i="1"/>
  <c r="W124" i="1"/>
  <c r="X124" i="1"/>
  <c r="AA124" i="1"/>
  <c r="AB124" i="1"/>
  <c r="AC124" i="1"/>
  <c r="AE124" i="1"/>
  <c r="AF124" i="1"/>
  <c r="AJ124" i="1"/>
  <c r="I124" i="1" s="1"/>
  <c r="AK124" i="1"/>
  <c r="J124" i="1" s="1"/>
  <c r="AY124" i="1"/>
  <c r="BE124" i="1"/>
  <c r="K125" i="1"/>
  <c r="AG125" i="1"/>
  <c r="M125" i="1"/>
  <c r="BA125" i="1" s="1"/>
  <c r="U125" i="1"/>
  <c r="W125" i="1"/>
  <c r="X125" i="1"/>
  <c r="AA125" i="1"/>
  <c r="AB125" i="1"/>
  <c r="AC125" i="1"/>
  <c r="AE125" i="1"/>
  <c r="AF125" i="1"/>
  <c r="AJ125" i="1"/>
  <c r="AR125" i="1" s="1"/>
  <c r="AK125" i="1"/>
  <c r="AS125" i="1"/>
  <c r="AY125" i="1"/>
  <c r="BE125" i="1"/>
  <c r="K126" i="1"/>
  <c r="AG126" i="1" s="1"/>
  <c r="M126" i="1"/>
  <c r="BA126" i="1" s="1"/>
  <c r="U126" i="1"/>
  <c r="W126" i="1"/>
  <c r="X126" i="1"/>
  <c r="AA126" i="1"/>
  <c r="AB126" i="1"/>
  <c r="AC126" i="1"/>
  <c r="AE126" i="1"/>
  <c r="AF126" i="1"/>
  <c r="AJ126" i="1"/>
  <c r="I126" i="1"/>
  <c r="AK126" i="1"/>
  <c r="BD126" i="1" s="1"/>
  <c r="Z126" i="1" s="1"/>
  <c r="AY126" i="1"/>
  <c r="BE126" i="1"/>
  <c r="K127" i="1"/>
  <c r="AG127" i="1" s="1"/>
  <c r="M127" i="1"/>
  <c r="BA127" i="1" s="1"/>
  <c r="U127" i="1"/>
  <c r="W127" i="1"/>
  <c r="X127" i="1"/>
  <c r="AA127" i="1"/>
  <c r="AB127" i="1"/>
  <c r="AC127" i="1"/>
  <c r="AE127" i="1"/>
  <c r="AF127" i="1"/>
  <c r="AJ127" i="1"/>
  <c r="AR127" i="1"/>
  <c r="AK127" i="1"/>
  <c r="J127" i="1"/>
  <c r="AY127" i="1"/>
  <c r="BE127" i="1"/>
  <c r="K128" i="1"/>
  <c r="AG128" i="1" s="1"/>
  <c r="M128" i="1"/>
  <c r="BA128" i="1"/>
  <c r="U128" i="1"/>
  <c r="W128" i="1"/>
  <c r="X128" i="1"/>
  <c r="AA128" i="1"/>
  <c r="AB128" i="1"/>
  <c r="AC128" i="1"/>
  <c r="AE128" i="1"/>
  <c r="AF128" i="1"/>
  <c r="AJ128" i="1"/>
  <c r="I128" i="1"/>
  <c r="AK128" i="1"/>
  <c r="BD128" i="1" s="1"/>
  <c r="Z128" i="1" s="1"/>
  <c r="AY128" i="1"/>
  <c r="BE128" i="1"/>
  <c r="K129" i="1"/>
  <c r="AG129" i="1" s="1"/>
  <c r="M129" i="1"/>
  <c r="BA129" i="1" s="1"/>
  <c r="U129" i="1"/>
  <c r="W129" i="1"/>
  <c r="X129" i="1"/>
  <c r="AA129" i="1"/>
  <c r="AB129" i="1"/>
  <c r="AC129" i="1"/>
  <c r="AE129" i="1"/>
  <c r="AF129" i="1"/>
  <c r="AJ129" i="1"/>
  <c r="AR129" i="1"/>
  <c r="AK129" i="1"/>
  <c r="AY129" i="1"/>
  <c r="BE129" i="1"/>
  <c r="K130" i="1"/>
  <c r="AG130" i="1"/>
  <c r="M130" i="1"/>
  <c r="BA130" i="1" s="1"/>
  <c r="U130" i="1"/>
  <c r="W130" i="1"/>
  <c r="X130" i="1"/>
  <c r="AA130" i="1"/>
  <c r="AB130" i="1"/>
  <c r="AC130" i="1"/>
  <c r="AE130" i="1"/>
  <c r="AF130" i="1"/>
  <c r="AJ130" i="1"/>
  <c r="AK130" i="1"/>
  <c r="AS130" i="1" s="1"/>
  <c r="AY130" i="1"/>
  <c r="BE130" i="1"/>
  <c r="K131" i="1"/>
  <c r="AG131" i="1" s="1"/>
  <c r="M131" i="1"/>
  <c r="BA131" i="1"/>
  <c r="U131" i="1"/>
  <c r="W131" i="1"/>
  <c r="X131" i="1"/>
  <c r="AA131" i="1"/>
  <c r="AB131" i="1"/>
  <c r="AC131" i="1"/>
  <c r="AE131" i="1"/>
  <c r="AF131" i="1"/>
  <c r="AJ131" i="1"/>
  <c r="I131" i="1" s="1"/>
  <c r="AK131" i="1"/>
  <c r="BD131" i="1" s="1"/>
  <c r="Z131" i="1"/>
  <c r="AY131" i="1"/>
  <c r="BE131" i="1"/>
  <c r="K133" i="1"/>
  <c r="AG133" i="1" s="1"/>
  <c r="M133" i="1"/>
  <c r="BA133" i="1"/>
  <c r="U133" i="1"/>
  <c r="W133" i="1"/>
  <c r="X133" i="1"/>
  <c r="AA133" i="1"/>
  <c r="AB133" i="1"/>
  <c r="AC133" i="1"/>
  <c r="AE133" i="1"/>
  <c r="AF133" i="1"/>
  <c r="AJ133" i="1"/>
  <c r="I133" i="1"/>
  <c r="AK133" i="1"/>
  <c r="AS133" i="1" s="1"/>
  <c r="AY133" i="1"/>
  <c r="BE133" i="1"/>
  <c r="K134" i="1"/>
  <c r="AG134" i="1"/>
  <c r="M134" i="1"/>
  <c r="BA134" i="1"/>
  <c r="U134" i="1"/>
  <c r="W134" i="1"/>
  <c r="X134" i="1"/>
  <c r="AA134" i="1"/>
  <c r="AB134" i="1"/>
  <c r="AC134" i="1"/>
  <c r="AE134" i="1"/>
  <c r="AF134" i="1"/>
  <c r="AJ134" i="1"/>
  <c r="I134" i="1" s="1"/>
  <c r="AK134" i="1"/>
  <c r="AS134" i="1" s="1"/>
  <c r="AY134" i="1"/>
  <c r="BE134" i="1"/>
  <c r="K135" i="1"/>
  <c r="AG135" i="1"/>
  <c r="M135" i="1"/>
  <c r="BA135" i="1" s="1"/>
  <c r="U135" i="1"/>
  <c r="W135" i="1"/>
  <c r="X135" i="1"/>
  <c r="AA135" i="1"/>
  <c r="AB135" i="1"/>
  <c r="AC135" i="1"/>
  <c r="AE135" i="1"/>
  <c r="AF135" i="1"/>
  <c r="AJ135" i="1"/>
  <c r="I135" i="1" s="1"/>
  <c r="AK135" i="1"/>
  <c r="J135" i="1"/>
  <c r="AY135" i="1"/>
  <c r="BE135" i="1"/>
  <c r="K136" i="1"/>
  <c r="AG136" i="1" s="1"/>
  <c r="M136" i="1"/>
  <c r="BA136" i="1" s="1"/>
  <c r="U136" i="1"/>
  <c r="W136" i="1"/>
  <c r="X136" i="1"/>
  <c r="AA136" i="1"/>
  <c r="AB136" i="1"/>
  <c r="AC136" i="1"/>
  <c r="AE136" i="1"/>
  <c r="AF136" i="1"/>
  <c r="AJ136" i="1"/>
  <c r="AR136" i="1"/>
  <c r="AK136" i="1"/>
  <c r="AY136" i="1"/>
  <c r="BE136" i="1"/>
  <c r="K137" i="1"/>
  <c r="AG137" i="1"/>
  <c r="M137" i="1"/>
  <c r="U137" i="1"/>
  <c r="W137" i="1"/>
  <c r="X137" i="1"/>
  <c r="AA137" i="1"/>
  <c r="AB137" i="1"/>
  <c r="AC137" i="1"/>
  <c r="AE137" i="1"/>
  <c r="AF137" i="1"/>
  <c r="AJ137" i="1"/>
  <c r="I137" i="1"/>
  <c r="AK137" i="1"/>
  <c r="J137" i="1"/>
  <c r="AY137" i="1"/>
  <c r="BE137" i="1"/>
  <c r="K138" i="1"/>
  <c r="AG138" i="1" s="1"/>
  <c r="M138" i="1"/>
  <c r="BA138" i="1"/>
  <c r="U138" i="1"/>
  <c r="W138" i="1"/>
  <c r="X138" i="1"/>
  <c r="AA138" i="1"/>
  <c r="AB138" i="1"/>
  <c r="AC138" i="1"/>
  <c r="AE138" i="1"/>
  <c r="AF138" i="1"/>
  <c r="AJ138" i="1"/>
  <c r="AR138" i="1"/>
  <c r="AK138" i="1"/>
  <c r="J138" i="1" s="1"/>
  <c r="AY138" i="1"/>
  <c r="BE138" i="1"/>
  <c r="K139" i="1"/>
  <c r="AG139" i="1"/>
  <c r="M139" i="1"/>
  <c r="BA139" i="1"/>
  <c r="U139" i="1"/>
  <c r="W139" i="1"/>
  <c r="X139" i="1"/>
  <c r="AA139" i="1"/>
  <c r="AB139" i="1"/>
  <c r="AC139" i="1"/>
  <c r="AE139" i="1"/>
  <c r="AF139" i="1"/>
  <c r="AJ139" i="1"/>
  <c r="AK139" i="1"/>
  <c r="BD139" i="1"/>
  <c r="Z139" i="1" s="1"/>
  <c r="AY139" i="1"/>
  <c r="BE139" i="1"/>
  <c r="K140" i="1"/>
  <c r="AG140" i="1"/>
  <c r="M140" i="1"/>
  <c r="BA140" i="1" s="1"/>
  <c r="U140" i="1"/>
  <c r="W140" i="1"/>
  <c r="X140" i="1"/>
  <c r="AA140" i="1"/>
  <c r="AB140" i="1"/>
  <c r="AC140" i="1"/>
  <c r="AE140" i="1"/>
  <c r="AF140" i="1"/>
  <c r="AJ140" i="1"/>
  <c r="AR140" i="1" s="1"/>
  <c r="AQ140" i="1" s="1"/>
  <c r="AK140" i="1"/>
  <c r="AS140" i="1"/>
  <c r="AY140" i="1"/>
  <c r="BE140" i="1"/>
  <c r="K141" i="1"/>
  <c r="M141" i="1"/>
  <c r="BA141" i="1" s="1"/>
  <c r="U141" i="1"/>
  <c r="W141" i="1"/>
  <c r="X141" i="1"/>
  <c r="AA141" i="1"/>
  <c r="AB141" i="1"/>
  <c r="AC141" i="1"/>
  <c r="AE141" i="1"/>
  <c r="AF141" i="1"/>
  <c r="AJ141" i="1"/>
  <c r="BC141" i="1"/>
  <c r="Y141" i="1" s="1"/>
  <c r="AK141" i="1"/>
  <c r="AY141" i="1"/>
  <c r="BE141" i="1"/>
  <c r="K143" i="1"/>
  <c r="AG143" i="1" s="1"/>
  <c r="M143" i="1"/>
  <c r="BA143" i="1"/>
  <c r="U143" i="1"/>
  <c r="W143" i="1"/>
  <c r="X143" i="1"/>
  <c r="AA143" i="1"/>
  <c r="AB143" i="1"/>
  <c r="AC143" i="1"/>
  <c r="AE143" i="1"/>
  <c r="AF143" i="1"/>
  <c r="AJ143" i="1"/>
  <c r="BC143" i="1"/>
  <c r="Y143" i="1" s="1"/>
  <c r="AK143" i="1"/>
  <c r="J143" i="1"/>
  <c r="AY143" i="1"/>
  <c r="BE143" i="1"/>
  <c r="K144" i="1"/>
  <c r="AG144" i="1" s="1"/>
  <c r="M144" i="1"/>
  <c r="BA144" i="1" s="1"/>
  <c r="U144" i="1"/>
  <c r="W144" i="1"/>
  <c r="X144" i="1"/>
  <c r="AA144" i="1"/>
  <c r="AB144" i="1"/>
  <c r="AC144" i="1"/>
  <c r="AE144" i="1"/>
  <c r="AF144" i="1"/>
  <c r="AJ144" i="1"/>
  <c r="AR144" i="1"/>
  <c r="AK144" i="1"/>
  <c r="AY144" i="1"/>
  <c r="BE144" i="1"/>
  <c r="K145" i="1"/>
  <c r="AG145" i="1"/>
  <c r="M145" i="1"/>
  <c r="BA145" i="1" s="1"/>
  <c r="U145" i="1"/>
  <c r="W145" i="1"/>
  <c r="X145" i="1"/>
  <c r="AA145" i="1"/>
  <c r="AB145" i="1"/>
  <c r="AC145" i="1"/>
  <c r="AE145" i="1"/>
  <c r="AF145" i="1"/>
  <c r="AJ145" i="1"/>
  <c r="I145" i="1" s="1"/>
  <c r="AK145" i="1"/>
  <c r="J145" i="1"/>
  <c r="AY145" i="1"/>
  <c r="BE145" i="1"/>
  <c r="K146" i="1"/>
  <c r="AG146" i="1" s="1"/>
  <c r="M146" i="1"/>
  <c r="BA146" i="1" s="1"/>
  <c r="U146" i="1"/>
  <c r="W146" i="1"/>
  <c r="X146" i="1"/>
  <c r="AA146" i="1"/>
  <c r="AB146" i="1"/>
  <c r="AC146" i="1"/>
  <c r="AE146" i="1"/>
  <c r="AF146" i="1"/>
  <c r="AJ146" i="1"/>
  <c r="AR146" i="1"/>
  <c r="AK146" i="1"/>
  <c r="J146" i="1"/>
  <c r="AY146" i="1"/>
  <c r="BE146" i="1"/>
  <c r="K147" i="1"/>
  <c r="AG147" i="1"/>
  <c r="M147" i="1"/>
  <c r="BA147" i="1"/>
  <c r="U147" i="1"/>
  <c r="W147" i="1"/>
  <c r="X147" i="1"/>
  <c r="AA147" i="1"/>
  <c r="AB147" i="1"/>
  <c r="AC147" i="1"/>
  <c r="AE147" i="1"/>
  <c r="AF147" i="1"/>
  <c r="AJ147" i="1"/>
  <c r="I147" i="1"/>
  <c r="AK147" i="1"/>
  <c r="J147" i="1" s="1"/>
  <c r="AY147" i="1"/>
  <c r="BE147" i="1"/>
  <c r="K148" i="1"/>
  <c r="AG148" i="1"/>
  <c r="M148" i="1"/>
  <c r="BA148" i="1"/>
  <c r="U148" i="1"/>
  <c r="W148" i="1"/>
  <c r="X148" i="1"/>
  <c r="AA148" i="1"/>
  <c r="AB148" i="1"/>
  <c r="AC148" i="1"/>
  <c r="AE148" i="1"/>
  <c r="AF148" i="1"/>
  <c r="AJ148" i="1"/>
  <c r="I148" i="1" s="1"/>
  <c r="AK148" i="1"/>
  <c r="J148" i="1" s="1"/>
  <c r="AY148" i="1"/>
  <c r="BE148" i="1"/>
  <c r="K149" i="1"/>
  <c r="M149" i="1"/>
  <c r="BA149" i="1" s="1"/>
  <c r="U149" i="1"/>
  <c r="W149" i="1"/>
  <c r="X149" i="1"/>
  <c r="AA149" i="1"/>
  <c r="AB149" i="1"/>
  <c r="AC149" i="1"/>
  <c r="AE149" i="1"/>
  <c r="AF149" i="1"/>
  <c r="AJ149" i="1"/>
  <c r="BC149" i="1" s="1"/>
  <c r="Y149" i="1" s="1"/>
  <c r="AK149" i="1"/>
  <c r="J149" i="1"/>
  <c r="AY149" i="1"/>
  <c r="BE149" i="1"/>
  <c r="K150" i="1"/>
  <c r="AG150" i="1" s="1"/>
  <c r="M150" i="1"/>
  <c r="BA150" i="1"/>
  <c r="U150" i="1"/>
  <c r="W150" i="1"/>
  <c r="X150" i="1"/>
  <c r="AA150" i="1"/>
  <c r="AB150" i="1"/>
  <c r="AC150" i="1"/>
  <c r="AE150" i="1"/>
  <c r="AF150" i="1"/>
  <c r="AJ150" i="1"/>
  <c r="AK150" i="1"/>
  <c r="J150" i="1" s="1"/>
  <c r="AY150" i="1"/>
  <c r="BE150" i="1"/>
  <c r="K151" i="1"/>
  <c r="AG151" i="1"/>
  <c r="M151" i="1"/>
  <c r="BA151" i="1" s="1"/>
  <c r="U151" i="1"/>
  <c r="W151" i="1"/>
  <c r="X151" i="1"/>
  <c r="AA151" i="1"/>
  <c r="AB151" i="1"/>
  <c r="AC151" i="1"/>
  <c r="AE151" i="1"/>
  <c r="AF151" i="1"/>
  <c r="AJ151" i="1"/>
  <c r="I151" i="1" s="1"/>
  <c r="AK151" i="1"/>
  <c r="BD151" i="1" s="1"/>
  <c r="Z151" i="1" s="1"/>
  <c r="AY151" i="1"/>
  <c r="BE151" i="1"/>
  <c r="K152" i="1"/>
  <c r="AG152" i="1"/>
  <c r="M152" i="1"/>
  <c r="BA152" i="1"/>
  <c r="U152" i="1"/>
  <c r="W152" i="1"/>
  <c r="X152" i="1"/>
  <c r="AA152" i="1"/>
  <c r="AB152" i="1"/>
  <c r="AC152" i="1"/>
  <c r="AE152" i="1"/>
  <c r="AF152" i="1"/>
  <c r="AJ152" i="1"/>
  <c r="I152" i="1" s="1"/>
  <c r="AK152" i="1"/>
  <c r="J152" i="1" s="1"/>
  <c r="AY152" i="1"/>
  <c r="BE152" i="1"/>
  <c r="K153" i="1"/>
  <c r="AG153" i="1"/>
  <c r="M153" i="1"/>
  <c r="BA153" i="1" s="1"/>
  <c r="U153" i="1"/>
  <c r="W153" i="1"/>
  <c r="X153" i="1"/>
  <c r="AA153" i="1"/>
  <c r="AB153" i="1"/>
  <c r="AC153" i="1"/>
  <c r="AE153" i="1"/>
  <c r="AF153" i="1"/>
  <c r="AJ153" i="1"/>
  <c r="BC153" i="1" s="1"/>
  <c r="Y153" i="1" s="1"/>
  <c r="AK153" i="1"/>
  <c r="BD153" i="1" s="1"/>
  <c r="Z153" i="1"/>
  <c r="AY153" i="1"/>
  <c r="BE153" i="1"/>
  <c r="K154" i="1"/>
  <c r="AG154" i="1" s="1"/>
  <c r="M154" i="1"/>
  <c r="BA154" i="1"/>
  <c r="U154" i="1"/>
  <c r="W154" i="1"/>
  <c r="X154" i="1"/>
  <c r="AA154" i="1"/>
  <c r="AB154" i="1"/>
  <c r="AC154" i="1"/>
  <c r="AE154" i="1"/>
  <c r="AF154" i="1"/>
  <c r="AJ154" i="1"/>
  <c r="BC154" i="1"/>
  <c r="Y154" i="1" s="1"/>
  <c r="AK154" i="1"/>
  <c r="AY154" i="1"/>
  <c r="BE154" i="1"/>
  <c r="K155" i="1"/>
  <c r="AG155" i="1"/>
  <c r="M155" i="1"/>
  <c r="BA155" i="1"/>
  <c r="U155" i="1"/>
  <c r="W155" i="1"/>
  <c r="X155" i="1"/>
  <c r="AA155" i="1"/>
  <c r="AB155" i="1"/>
  <c r="AC155" i="1"/>
  <c r="AE155" i="1"/>
  <c r="AF155" i="1"/>
  <c r="AJ155" i="1"/>
  <c r="BC155" i="1" s="1"/>
  <c r="Y155" i="1" s="1"/>
  <c r="AK155" i="1"/>
  <c r="J155" i="1" s="1"/>
  <c r="AY155" i="1"/>
  <c r="BE155" i="1"/>
  <c r="K156" i="1"/>
  <c r="AG156" i="1" s="1"/>
  <c r="M156" i="1"/>
  <c r="BA156" i="1"/>
  <c r="U156" i="1"/>
  <c r="W156" i="1"/>
  <c r="X156" i="1"/>
  <c r="AA156" i="1"/>
  <c r="AB156" i="1"/>
  <c r="AC156" i="1"/>
  <c r="AE156" i="1"/>
  <c r="AF156" i="1"/>
  <c r="AJ156" i="1"/>
  <c r="AK156" i="1"/>
  <c r="AS156" i="1"/>
  <c r="AY156" i="1"/>
  <c r="BE156" i="1"/>
  <c r="K157" i="1"/>
  <c r="AG157" i="1" s="1"/>
  <c r="M157" i="1"/>
  <c r="BA157" i="1" s="1"/>
  <c r="U157" i="1"/>
  <c r="W157" i="1"/>
  <c r="X157" i="1"/>
  <c r="AA157" i="1"/>
  <c r="AB157" i="1"/>
  <c r="AC157" i="1"/>
  <c r="AE157" i="1"/>
  <c r="AF157" i="1"/>
  <c r="AJ157" i="1"/>
  <c r="BC157" i="1"/>
  <c r="Y157" i="1" s="1"/>
  <c r="AK157" i="1"/>
  <c r="AS157" i="1" s="1"/>
  <c r="AY157" i="1"/>
  <c r="BE157" i="1"/>
  <c r="K158" i="1"/>
  <c r="AG158" i="1" s="1"/>
  <c r="M158" i="1"/>
  <c r="BA158" i="1" s="1"/>
  <c r="U158" i="1"/>
  <c r="W158" i="1"/>
  <c r="X158" i="1"/>
  <c r="AA158" i="1"/>
  <c r="AB158" i="1"/>
  <c r="AC158" i="1"/>
  <c r="AE158" i="1"/>
  <c r="AF158" i="1"/>
  <c r="AJ158" i="1"/>
  <c r="I158" i="1" s="1"/>
  <c r="AK158" i="1"/>
  <c r="J158" i="1"/>
  <c r="AY158" i="1"/>
  <c r="BE158" i="1"/>
  <c r="K159" i="1"/>
  <c r="AG159" i="1" s="1"/>
  <c r="M159" i="1"/>
  <c r="BA159" i="1" s="1"/>
  <c r="U159" i="1"/>
  <c r="W159" i="1"/>
  <c r="X159" i="1"/>
  <c r="AA159" i="1"/>
  <c r="AB159" i="1"/>
  <c r="AC159" i="1"/>
  <c r="AE159" i="1"/>
  <c r="AF159" i="1"/>
  <c r="AJ159" i="1"/>
  <c r="AK159" i="1"/>
  <c r="BD159" i="1" s="1"/>
  <c r="Z159" i="1" s="1"/>
  <c r="AY159" i="1"/>
  <c r="BE159" i="1"/>
  <c r="K160" i="1"/>
  <c r="AG160" i="1" s="1"/>
  <c r="M160" i="1"/>
  <c r="U160" i="1"/>
  <c r="W160" i="1"/>
  <c r="X160" i="1"/>
  <c r="AA160" i="1"/>
  <c r="AB160" i="1"/>
  <c r="AC160" i="1"/>
  <c r="AE160" i="1"/>
  <c r="AF160" i="1"/>
  <c r="AJ160" i="1"/>
  <c r="AK160" i="1"/>
  <c r="J160" i="1" s="1"/>
  <c r="AY160" i="1"/>
  <c r="BA160" i="1"/>
  <c r="BE160" i="1"/>
  <c r="K161" i="1"/>
  <c r="AG161" i="1" s="1"/>
  <c r="M161" i="1"/>
  <c r="BA161" i="1" s="1"/>
  <c r="U161" i="1"/>
  <c r="W161" i="1"/>
  <c r="X161" i="1"/>
  <c r="AA161" i="1"/>
  <c r="AB161" i="1"/>
  <c r="AC161" i="1"/>
  <c r="AE161" i="1"/>
  <c r="AF161" i="1"/>
  <c r="AJ161" i="1"/>
  <c r="BC161" i="1"/>
  <c r="Y161" i="1" s="1"/>
  <c r="AK161" i="1"/>
  <c r="BD161" i="1" s="1"/>
  <c r="Z161" i="1" s="1"/>
  <c r="AY161" i="1"/>
  <c r="BE161" i="1"/>
  <c r="K162" i="1"/>
  <c r="AG162" i="1"/>
  <c r="M162" i="1"/>
  <c r="BA162" i="1"/>
  <c r="U162" i="1"/>
  <c r="W162" i="1"/>
  <c r="X162" i="1"/>
  <c r="AA162" i="1"/>
  <c r="AB162" i="1"/>
  <c r="AC162" i="1"/>
  <c r="AE162" i="1"/>
  <c r="AF162" i="1"/>
  <c r="AJ162" i="1"/>
  <c r="I162" i="1" s="1"/>
  <c r="AK162" i="1"/>
  <c r="AS162" i="1" s="1"/>
  <c r="AY162" i="1"/>
  <c r="BE162" i="1"/>
  <c r="K163" i="1"/>
  <c r="AG163" i="1"/>
  <c r="M163" i="1"/>
  <c r="BA163" i="1" s="1"/>
  <c r="U163" i="1"/>
  <c r="W163" i="1"/>
  <c r="X163" i="1"/>
  <c r="AA163" i="1"/>
  <c r="AB163" i="1"/>
  <c r="AC163" i="1"/>
  <c r="AE163" i="1"/>
  <c r="AF163" i="1"/>
  <c r="AJ163" i="1"/>
  <c r="AK163" i="1"/>
  <c r="J163" i="1" s="1"/>
  <c r="AY163" i="1"/>
  <c r="BE163" i="1"/>
  <c r="K164" i="1"/>
  <c r="AG164" i="1" s="1"/>
  <c r="M164" i="1"/>
  <c r="BA164" i="1"/>
  <c r="U164" i="1"/>
  <c r="W164" i="1"/>
  <c r="X164" i="1"/>
  <c r="AA164" i="1"/>
  <c r="AB164" i="1"/>
  <c r="AC164" i="1"/>
  <c r="AE164" i="1"/>
  <c r="AF164" i="1"/>
  <c r="AJ164" i="1"/>
  <c r="AK164" i="1"/>
  <c r="J164" i="1"/>
  <c r="AY164" i="1"/>
  <c r="BE164" i="1"/>
  <c r="K165" i="1"/>
  <c r="AG165" i="1" s="1"/>
  <c r="M165" i="1"/>
  <c r="BA165" i="1" s="1"/>
  <c r="U165" i="1"/>
  <c r="W165" i="1"/>
  <c r="X165" i="1"/>
  <c r="AA165" i="1"/>
  <c r="AB165" i="1"/>
  <c r="AC165" i="1"/>
  <c r="AE165" i="1"/>
  <c r="AF165" i="1"/>
  <c r="AJ165" i="1"/>
  <c r="BC165" i="1"/>
  <c r="Y165" i="1" s="1"/>
  <c r="AK165" i="1"/>
  <c r="J165" i="1" s="1"/>
  <c r="AY165" i="1"/>
  <c r="BE165" i="1"/>
  <c r="K166" i="1"/>
  <c r="AG166" i="1"/>
  <c r="M166" i="1"/>
  <c r="BA166" i="1" s="1"/>
  <c r="U166" i="1"/>
  <c r="W166" i="1"/>
  <c r="X166" i="1"/>
  <c r="AA166" i="1"/>
  <c r="AB166" i="1"/>
  <c r="AC166" i="1"/>
  <c r="AE166" i="1"/>
  <c r="AF166" i="1"/>
  <c r="AJ166" i="1"/>
  <c r="I166" i="1" s="1"/>
  <c r="AK166" i="1"/>
  <c r="BD166" i="1" s="1"/>
  <c r="Z166" i="1" s="1"/>
  <c r="AY166" i="1"/>
  <c r="BE166" i="1"/>
  <c r="K167" i="1"/>
  <c r="AG167" i="1"/>
  <c r="M167" i="1"/>
  <c r="BA167" i="1" s="1"/>
  <c r="U167" i="1"/>
  <c r="W167" i="1"/>
  <c r="X167" i="1"/>
  <c r="AA167" i="1"/>
  <c r="AB167" i="1"/>
  <c r="AC167" i="1"/>
  <c r="AE167" i="1"/>
  <c r="AF167" i="1"/>
  <c r="AJ167" i="1"/>
  <c r="BC167" i="1"/>
  <c r="Y167" i="1"/>
  <c r="AK167" i="1"/>
  <c r="BD167" i="1" s="1"/>
  <c r="Z167" i="1"/>
  <c r="AY167" i="1"/>
  <c r="BE167" i="1"/>
  <c r="K168" i="1"/>
  <c r="AG168" i="1"/>
  <c r="M168" i="1"/>
  <c r="BA168" i="1"/>
  <c r="U168" i="1"/>
  <c r="W168" i="1"/>
  <c r="X168" i="1"/>
  <c r="AA168" i="1"/>
  <c r="AB168" i="1"/>
  <c r="AC168" i="1"/>
  <c r="AE168" i="1"/>
  <c r="AF168" i="1"/>
  <c r="AJ168" i="1"/>
  <c r="I168" i="1"/>
  <c r="AK168" i="1"/>
  <c r="AS168" i="1" s="1"/>
  <c r="AY168" i="1"/>
  <c r="BE168" i="1"/>
  <c r="K169" i="1"/>
  <c r="AG169" i="1"/>
  <c r="M169" i="1"/>
  <c r="BA169" i="1"/>
  <c r="U169" i="1"/>
  <c r="W169" i="1"/>
  <c r="X169" i="1"/>
  <c r="AA169" i="1"/>
  <c r="AB169" i="1"/>
  <c r="AC169" i="1"/>
  <c r="AE169" i="1"/>
  <c r="AF169" i="1"/>
  <c r="AJ169" i="1"/>
  <c r="I169" i="1" s="1"/>
  <c r="AK169" i="1"/>
  <c r="AS169" i="1"/>
  <c r="AY169" i="1"/>
  <c r="BE169" i="1"/>
  <c r="K170" i="1"/>
  <c r="AG170" i="1"/>
  <c r="M170" i="1"/>
  <c r="BA170" i="1" s="1"/>
  <c r="U170" i="1"/>
  <c r="W170" i="1"/>
  <c r="X170" i="1"/>
  <c r="AA170" i="1"/>
  <c r="AB170" i="1"/>
  <c r="AC170" i="1"/>
  <c r="AE170" i="1"/>
  <c r="AF170" i="1"/>
  <c r="AJ170" i="1"/>
  <c r="I170" i="1"/>
  <c r="AK170" i="1"/>
  <c r="J170" i="1"/>
  <c r="AY170" i="1"/>
  <c r="BE170" i="1"/>
  <c r="K171" i="1"/>
  <c r="AG171" i="1" s="1"/>
  <c r="M171" i="1"/>
  <c r="BA171" i="1"/>
  <c r="U171" i="1"/>
  <c r="W171" i="1"/>
  <c r="X171" i="1"/>
  <c r="AA171" i="1"/>
  <c r="AB171" i="1"/>
  <c r="AC171" i="1"/>
  <c r="AE171" i="1"/>
  <c r="AF171" i="1"/>
  <c r="AJ171" i="1"/>
  <c r="BC171" i="1"/>
  <c r="Y171" i="1" s="1"/>
  <c r="AK171" i="1"/>
  <c r="J171" i="1"/>
  <c r="AY171" i="1"/>
  <c r="BE171" i="1"/>
  <c r="K172" i="1"/>
  <c r="AG172" i="1"/>
  <c r="M172" i="1"/>
  <c r="BA172" i="1" s="1"/>
  <c r="U172" i="1"/>
  <c r="W172" i="1"/>
  <c r="X172" i="1"/>
  <c r="AA172" i="1"/>
  <c r="AB172" i="1"/>
  <c r="AC172" i="1"/>
  <c r="AE172" i="1"/>
  <c r="AF172" i="1"/>
  <c r="AJ172" i="1"/>
  <c r="BC172" i="1" s="1"/>
  <c r="Y172" i="1" s="1"/>
  <c r="AK172" i="1"/>
  <c r="BD172" i="1"/>
  <c r="Z172" i="1"/>
  <c r="AY172" i="1"/>
  <c r="BE172" i="1"/>
  <c r="K173" i="1"/>
  <c r="AG173" i="1"/>
  <c r="M173" i="1"/>
  <c r="BA173" i="1" s="1"/>
  <c r="U173" i="1"/>
  <c r="W173" i="1"/>
  <c r="X173" i="1"/>
  <c r="AA173" i="1"/>
  <c r="AB173" i="1"/>
  <c r="AC173" i="1"/>
  <c r="AE173" i="1"/>
  <c r="AF173" i="1"/>
  <c r="AJ173" i="1"/>
  <c r="BC173" i="1"/>
  <c r="Y173" i="1"/>
  <c r="AK173" i="1"/>
  <c r="AS173" i="1"/>
  <c r="AY173" i="1"/>
  <c r="BE173" i="1"/>
  <c r="K174" i="1"/>
  <c r="AG174" i="1" s="1"/>
  <c r="M174" i="1"/>
  <c r="BA174" i="1"/>
  <c r="U174" i="1"/>
  <c r="W174" i="1"/>
  <c r="X174" i="1"/>
  <c r="AA174" i="1"/>
  <c r="AB174" i="1"/>
  <c r="AC174" i="1"/>
  <c r="AE174" i="1"/>
  <c r="AF174" i="1"/>
  <c r="AJ174" i="1"/>
  <c r="AK174" i="1"/>
  <c r="BD174" i="1"/>
  <c r="Z174" i="1" s="1"/>
  <c r="AY174" i="1"/>
  <c r="BE174" i="1"/>
  <c r="K175" i="1"/>
  <c r="AG175" i="1"/>
  <c r="M175" i="1"/>
  <c r="BA175" i="1"/>
  <c r="U175" i="1"/>
  <c r="W175" i="1"/>
  <c r="X175" i="1"/>
  <c r="AA175" i="1"/>
  <c r="AB175" i="1"/>
  <c r="AC175" i="1"/>
  <c r="AE175" i="1"/>
  <c r="AF175" i="1"/>
  <c r="AJ175" i="1"/>
  <c r="AK175" i="1"/>
  <c r="AS175" i="1" s="1"/>
  <c r="AY175" i="1"/>
  <c r="BE175" i="1"/>
  <c r="K176" i="1"/>
  <c r="AG176" i="1" s="1"/>
  <c r="M176" i="1"/>
  <c r="BA176" i="1"/>
  <c r="U176" i="1"/>
  <c r="W176" i="1"/>
  <c r="X176" i="1"/>
  <c r="AA176" i="1"/>
  <c r="AB176" i="1"/>
  <c r="AC176" i="1"/>
  <c r="AE176" i="1"/>
  <c r="AF176" i="1"/>
  <c r="AJ176" i="1"/>
  <c r="AR176" i="1" s="1"/>
  <c r="AK176" i="1"/>
  <c r="AY176" i="1"/>
  <c r="BE176" i="1"/>
  <c r="K177" i="1"/>
  <c r="AG177" i="1"/>
  <c r="M177" i="1"/>
  <c r="BA177" i="1"/>
  <c r="U177" i="1"/>
  <c r="W177" i="1"/>
  <c r="X177" i="1"/>
  <c r="AA177" i="1"/>
  <c r="AB177" i="1"/>
  <c r="AC177" i="1"/>
  <c r="AE177" i="1"/>
  <c r="AF177" i="1"/>
  <c r="AJ177" i="1"/>
  <c r="I177" i="1"/>
  <c r="AK177" i="1"/>
  <c r="AS177" i="1"/>
  <c r="AY177" i="1"/>
  <c r="BE177" i="1"/>
  <c r="K178" i="1"/>
  <c r="AG178" i="1"/>
  <c r="M178" i="1"/>
  <c r="BA178" i="1"/>
  <c r="U178" i="1"/>
  <c r="W178" i="1"/>
  <c r="X178" i="1"/>
  <c r="AA178" i="1"/>
  <c r="AB178" i="1"/>
  <c r="AC178" i="1"/>
  <c r="AE178" i="1"/>
  <c r="AF178" i="1"/>
  <c r="AJ178" i="1"/>
  <c r="AR178" i="1"/>
  <c r="AK178" i="1"/>
  <c r="J178" i="1"/>
  <c r="AY178" i="1"/>
  <c r="BE178" i="1"/>
  <c r="K179" i="1"/>
  <c r="AG179" i="1"/>
  <c r="M179" i="1"/>
  <c r="BA179" i="1"/>
  <c r="U179" i="1"/>
  <c r="W179" i="1"/>
  <c r="X179" i="1"/>
  <c r="AA179" i="1"/>
  <c r="AB179" i="1"/>
  <c r="AC179" i="1"/>
  <c r="AE179" i="1"/>
  <c r="AF179" i="1"/>
  <c r="AJ179" i="1"/>
  <c r="BC179" i="1"/>
  <c r="Y179" i="1"/>
  <c r="AK179" i="1"/>
  <c r="BD179" i="1" s="1"/>
  <c r="Z179" i="1"/>
  <c r="AY179" i="1"/>
  <c r="BE179" i="1"/>
  <c r="K180" i="1"/>
  <c r="AG180" i="1"/>
  <c r="M180" i="1"/>
  <c r="U180" i="1"/>
  <c r="W180" i="1"/>
  <c r="X180" i="1"/>
  <c r="AA180" i="1"/>
  <c r="AB180" i="1"/>
  <c r="AC180" i="1"/>
  <c r="AE180" i="1"/>
  <c r="AF180" i="1"/>
  <c r="AJ180" i="1"/>
  <c r="AK180" i="1"/>
  <c r="AY180" i="1"/>
  <c r="BE180" i="1"/>
  <c r="K181" i="1"/>
  <c r="AG181" i="1" s="1"/>
  <c r="M181" i="1"/>
  <c r="BA181" i="1"/>
  <c r="U181" i="1"/>
  <c r="W181" i="1"/>
  <c r="X181" i="1"/>
  <c r="AA181" i="1"/>
  <c r="AB181" i="1"/>
  <c r="AC181" i="1"/>
  <c r="AE181" i="1"/>
  <c r="AF181" i="1"/>
  <c r="AJ181" i="1"/>
  <c r="I181" i="1" s="1"/>
  <c r="AK181" i="1"/>
  <c r="AS181" i="1" s="1"/>
  <c r="AY181" i="1"/>
  <c r="BE181" i="1"/>
  <c r="K182" i="1"/>
  <c r="AG182" i="1"/>
  <c r="M182" i="1"/>
  <c r="BA182" i="1" s="1"/>
  <c r="U182" i="1"/>
  <c r="W182" i="1"/>
  <c r="X182" i="1"/>
  <c r="AA182" i="1"/>
  <c r="AB182" i="1"/>
  <c r="AC182" i="1"/>
  <c r="AE182" i="1"/>
  <c r="AF182" i="1"/>
  <c r="AJ182" i="1"/>
  <c r="I182" i="1" s="1"/>
  <c r="AK182" i="1"/>
  <c r="J182" i="1" s="1"/>
  <c r="AY182" i="1"/>
  <c r="BE182" i="1"/>
  <c r="K183" i="1"/>
  <c r="AG183" i="1" s="1"/>
  <c r="M183" i="1"/>
  <c r="BA183" i="1" s="1"/>
  <c r="U183" i="1"/>
  <c r="W183" i="1"/>
  <c r="X183" i="1"/>
  <c r="AA183" i="1"/>
  <c r="AB183" i="1"/>
  <c r="AC183" i="1"/>
  <c r="AE183" i="1"/>
  <c r="AF183" i="1"/>
  <c r="AJ183" i="1"/>
  <c r="I183" i="1" s="1"/>
  <c r="AK183" i="1"/>
  <c r="AS183" i="1"/>
  <c r="AY183" i="1"/>
  <c r="BE183" i="1"/>
  <c r="K184" i="1"/>
  <c r="AG184" i="1" s="1"/>
  <c r="M184" i="1"/>
  <c r="BA184" i="1" s="1"/>
  <c r="U184" i="1"/>
  <c r="W184" i="1"/>
  <c r="X184" i="1"/>
  <c r="AA184" i="1"/>
  <c r="AB184" i="1"/>
  <c r="AC184" i="1"/>
  <c r="AE184" i="1"/>
  <c r="AF184" i="1"/>
  <c r="AJ184" i="1"/>
  <c r="BC184" i="1"/>
  <c r="Y184" i="1"/>
  <c r="AK184" i="1"/>
  <c r="AY184" i="1"/>
  <c r="BE184" i="1"/>
  <c r="K185" i="1"/>
  <c r="AG185" i="1" s="1"/>
  <c r="M185" i="1"/>
  <c r="BA185" i="1"/>
  <c r="U185" i="1"/>
  <c r="W185" i="1"/>
  <c r="X185" i="1"/>
  <c r="AA185" i="1"/>
  <c r="AB185" i="1"/>
  <c r="AC185" i="1"/>
  <c r="AE185" i="1"/>
  <c r="AF185" i="1"/>
  <c r="AJ185" i="1"/>
  <c r="BC185" i="1" s="1"/>
  <c r="Y185" i="1" s="1"/>
  <c r="AK185" i="1"/>
  <c r="AS185" i="1"/>
  <c r="AY185" i="1"/>
  <c r="BE185" i="1"/>
  <c r="K186" i="1"/>
  <c r="AG186" i="1"/>
  <c r="M186" i="1"/>
  <c r="BA186" i="1"/>
  <c r="U186" i="1"/>
  <c r="W186" i="1"/>
  <c r="X186" i="1"/>
  <c r="AA186" i="1"/>
  <c r="AB186" i="1"/>
  <c r="AC186" i="1"/>
  <c r="AE186" i="1"/>
  <c r="AF186" i="1"/>
  <c r="AJ186" i="1"/>
  <c r="AR186" i="1"/>
  <c r="AK186" i="1"/>
  <c r="AY186" i="1"/>
  <c r="BE186" i="1"/>
  <c r="K187" i="1"/>
  <c r="AG187" i="1" s="1"/>
  <c r="M187" i="1"/>
  <c r="BA187" i="1" s="1"/>
  <c r="U187" i="1"/>
  <c r="W187" i="1"/>
  <c r="X187" i="1"/>
  <c r="AA187" i="1"/>
  <c r="AB187" i="1"/>
  <c r="AC187" i="1"/>
  <c r="AE187" i="1"/>
  <c r="AF187" i="1"/>
  <c r="AJ187" i="1"/>
  <c r="I187" i="1" s="1"/>
  <c r="AK187" i="1"/>
  <c r="BD187" i="1"/>
  <c r="Z187" i="1"/>
  <c r="AY187" i="1"/>
  <c r="BE187" i="1"/>
  <c r="K188" i="1"/>
  <c r="AG188" i="1"/>
  <c r="M188" i="1"/>
  <c r="BA188" i="1"/>
  <c r="U188" i="1"/>
  <c r="W188" i="1"/>
  <c r="X188" i="1"/>
  <c r="AA188" i="1"/>
  <c r="AB188" i="1"/>
  <c r="AC188" i="1"/>
  <c r="AE188" i="1"/>
  <c r="AF188" i="1"/>
  <c r="AJ188" i="1"/>
  <c r="AR188" i="1"/>
  <c r="AK188" i="1"/>
  <c r="AS188" i="1"/>
  <c r="AY188" i="1"/>
  <c r="BE188" i="1"/>
  <c r="K190" i="1"/>
  <c r="AG190" i="1"/>
  <c r="AP189" i="1"/>
  <c r="M190" i="1"/>
  <c r="M189" i="1" s="1"/>
  <c r="G20" i="2" s="1"/>
  <c r="U190" i="1"/>
  <c r="W190" i="1"/>
  <c r="X190" i="1"/>
  <c r="AA190" i="1"/>
  <c r="AB190" i="1"/>
  <c r="AC190" i="1"/>
  <c r="AE190" i="1"/>
  <c r="AN189" i="1"/>
  <c r="AF190" i="1"/>
  <c r="AO189" i="1"/>
  <c r="AJ190" i="1"/>
  <c r="AK190" i="1"/>
  <c r="BD190" i="1"/>
  <c r="Z190" i="1"/>
  <c r="AY190" i="1"/>
  <c r="BE190" i="1"/>
  <c r="K192" i="1"/>
  <c r="M192" i="1"/>
  <c r="BA192" i="1" s="1"/>
  <c r="U192" i="1"/>
  <c r="W192" i="1"/>
  <c r="X192" i="1"/>
  <c r="AA192" i="1"/>
  <c r="AB192" i="1"/>
  <c r="AC192" i="1"/>
  <c r="AE192" i="1"/>
  <c r="AF192" i="1"/>
  <c r="AJ192" i="1"/>
  <c r="BC192" i="1"/>
  <c r="Y192" i="1"/>
  <c r="AK192" i="1"/>
  <c r="BD192" i="1"/>
  <c r="Z192" i="1" s="1"/>
  <c r="AY192" i="1"/>
  <c r="BE192" i="1"/>
  <c r="K193" i="1"/>
  <c r="AG193" i="1"/>
  <c r="M193" i="1"/>
  <c r="BA193" i="1" s="1"/>
  <c r="U193" i="1"/>
  <c r="W193" i="1"/>
  <c r="X193" i="1"/>
  <c r="AA193" i="1"/>
  <c r="AB193" i="1"/>
  <c r="AC193" i="1"/>
  <c r="AE193" i="1"/>
  <c r="AF193" i="1"/>
  <c r="AJ193" i="1"/>
  <c r="AK193" i="1"/>
  <c r="J193" i="1"/>
  <c r="AY193" i="1"/>
  <c r="BE193" i="1"/>
  <c r="K194" i="1"/>
  <c r="AG194" i="1"/>
  <c r="M194" i="1"/>
  <c r="BA194" i="1"/>
  <c r="U194" i="1"/>
  <c r="W194" i="1"/>
  <c r="X194" i="1"/>
  <c r="AA194" i="1"/>
  <c r="AB194" i="1"/>
  <c r="AC194" i="1"/>
  <c r="AE194" i="1"/>
  <c r="AF194" i="1"/>
  <c r="AJ194" i="1"/>
  <c r="BC194" i="1"/>
  <c r="Y194" i="1" s="1"/>
  <c r="AK194" i="1"/>
  <c r="AS194" i="1"/>
  <c r="AY194" i="1"/>
  <c r="BE194" i="1"/>
  <c r="K195" i="1"/>
  <c r="AG195" i="1" s="1"/>
  <c r="M195" i="1"/>
  <c r="U195" i="1"/>
  <c r="W195" i="1"/>
  <c r="X195" i="1"/>
  <c r="AA195" i="1"/>
  <c r="AB195" i="1"/>
  <c r="AC195" i="1"/>
  <c r="AE195" i="1"/>
  <c r="AF195" i="1"/>
  <c r="AJ195" i="1"/>
  <c r="AK195" i="1"/>
  <c r="AS195" i="1"/>
  <c r="AY195" i="1"/>
  <c r="BE195" i="1"/>
  <c r="K196" i="1"/>
  <c r="AG196" i="1" s="1"/>
  <c r="M196" i="1"/>
  <c r="BA196" i="1" s="1"/>
  <c r="U196" i="1"/>
  <c r="W196" i="1"/>
  <c r="X196" i="1"/>
  <c r="AA196" i="1"/>
  <c r="AB196" i="1"/>
  <c r="AC196" i="1"/>
  <c r="AE196" i="1"/>
  <c r="AF196" i="1"/>
  <c r="AJ196" i="1"/>
  <c r="AK196" i="1"/>
  <c r="AY196" i="1"/>
  <c r="BE196" i="1"/>
  <c r="K197" i="1"/>
  <c r="AG197" i="1" s="1"/>
  <c r="M197" i="1"/>
  <c r="BA197" i="1" s="1"/>
  <c r="U197" i="1"/>
  <c r="W197" i="1"/>
  <c r="X197" i="1"/>
  <c r="AA197" i="1"/>
  <c r="AB197" i="1"/>
  <c r="AC197" i="1"/>
  <c r="AE197" i="1"/>
  <c r="AF197" i="1"/>
  <c r="AJ197" i="1"/>
  <c r="AR197" i="1"/>
  <c r="AK197" i="1"/>
  <c r="J197" i="1" s="1"/>
  <c r="AY197" i="1"/>
  <c r="BE197" i="1"/>
  <c r="K198" i="1"/>
  <c r="AG198" i="1" s="1"/>
  <c r="M198" i="1"/>
  <c r="BA198" i="1"/>
  <c r="U198" i="1"/>
  <c r="W198" i="1"/>
  <c r="X198" i="1"/>
  <c r="AA198" i="1"/>
  <c r="AB198" i="1"/>
  <c r="AC198" i="1"/>
  <c r="AE198" i="1"/>
  <c r="AF198" i="1"/>
  <c r="AJ198" i="1"/>
  <c r="AR198" i="1" s="1"/>
  <c r="AK198" i="1"/>
  <c r="BD198" i="1" s="1"/>
  <c r="Z198" i="1" s="1"/>
  <c r="AY198" i="1"/>
  <c r="BE198" i="1"/>
  <c r="K199" i="1"/>
  <c r="AG199" i="1"/>
  <c r="M199" i="1"/>
  <c r="BA199" i="1"/>
  <c r="U199" i="1"/>
  <c r="W199" i="1"/>
  <c r="X199" i="1"/>
  <c r="AA199" i="1"/>
  <c r="AB199" i="1"/>
  <c r="AC199" i="1"/>
  <c r="AE199" i="1"/>
  <c r="AF199" i="1"/>
  <c r="AJ199" i="1"/>
  <c r="AR199" i="1"/>
  <c r="AK199" i="1"/>
  <c r="BD199" i="1"/>
  <c r="Z199" i="1"/>
  <c r="AY199" i="1"/>
  <c r="BE199" i="1"/>
  <c r="K200" i="1"/>
  <c r="AG200" i="1" s="1"/>
  <c r="M200" i="1"/>
  <c r="BA200" i="1" s="1"/>
  <c r="U200" i="1"/>
  <c r="W200" i="1"/>
  <c r="X200" i="1"/>
  <c r="AA200" i="1"/>
  <c r="AB200" i="1"/>
  <c r="AC200" i="1"/>
  <c r="AE200" i="1"/>
  <c r="AF200" i="1"/>
  <c r="AJ200" i="1"/>
  <c r="BC200" i="1"/>
  <c r="Y200" i="1"/>
  <c r="AK200" i="1"/>
  <c r="AY200" i="1"/>
  <c r="BE200" i="1"/>
  <c r="K201" i="1"/>
  <c r="AG201" i="1" s="1"/>
  <c r="M201" i="1"/>
  <c r="BA201" i="1"/>
  <c r="U201" i="1"/>
  <c r="W201" i="1"/>
  <c r="X201" i="1"/>
  <c r="AA201" i="1"/>
  <c r="AB201" i="1"/>
  <c r="AC201" i="1"/>
  <c r="AE201" i="1"/>
  <c r="AF201" i="1"/>
  <c r="AJ201" i="1"/>
  <c r="I201" i="1" s="1"/>
  <c r="AK201" i="1"/>
  <c r="AS201" i="1" s="1"/>
  <c r="AY201" i="1"/>
  <c r="BE201" i="1"/>
  <c r="K202" i="1"/>
  <c r="AG202" i="1"/>
  <c r="M202" i="1"/>
  <c r="BA202" i="1" s="1"/>
  <c r="U202" i="1"/>
  <c r="W202" i="1"/>
  <c r="X202" i="1"/>
  <c r="AA202" i="1"/>
  <c r="AB202" i="1"/>
  <c r="AC202" i="1"/>
  <c r="AE202" i="1"/>
  <c r="AF202" i="1"/>
  <c r="AJ202" i="1"/>
  <c r="AK202" i="1"/>
  <c r="AS202" i="1"/>
  <c r="AY202" i="1"/>
  <c r="BE202" i="1"/>
  <c r="K203" i="1"/>
  <c r="AG203" i="1"/>
  <c r="M203" i="1"/>
  <c r="BA203" i="1"/>
  <c r="U203" i="1"/>
  <c r="W203" i="1"/>
  <c r="X203" i="1"/>
  <c r="AA203" i="1"/>
  <c r="AB203" i="1"/>
  <c r="AC203" i="1"/>
  <c r="AE203" i="1"/>
  <c r="AF203" i="1"/>
  <c r="AJ203" i="1"/>
  <c r="AR203" i="1"/>
  <c r="AK203" i="1"/>
  <c r="AS203" i="1"/>
  <c r="AY203" i="1"/>
  <c r="BE203" i="1"/>
  <c r="K204" i="1"/>
  <c r="AG204" i="1"/>
  <c r="M204" i="1"/>
  <c r="BA204" i="1"/>
  <c r="U204" i="1"/>
  <c r="W204" i="1"/>
  <c r="X204" i="1"/>
  <c r="AA204" i="1"/>
  <c r="AB204" i="1"/>
  <c r="AC204" i="1"/>
  <c r="AE204" i="1"/>
  <c r="AF204" i="1"/>
  <c r="AJ204" i="1"/>
  <c r="BC204" i="1"/>
  <c r="Y204" i="1"/>
  <c r="AK204" i="1"/>
  <c r="BD204" i="1" s="1"/>
  <c r="Z204" i="1" s="1"/>
  <c r="AY204" i="1"/>
  <c r="BE204" i="1"/>
  <c r="K205" i="1"/>
  <c r="AG205" i="1"/>
  <c r="M205" i="1"/>
  <c r="BA205" i="1"/>
  <c r="U205" i="1"/>
  <c r="W205" i="1"/>
  <c r="X205" i="1"/>
  <c r="AA205" i="1"/>
  <c r="AB205" i="1"/>
  <c r="AC205" i="1"/>
  <c r="AE205" i="1"/>
  <c r="AF205" i="1"/>
  <c r="AJ205" i="1"/>
  <c r="I205" i="1"/>
  <c r="AK205" i="1"/>
  <c r="AS205" i="1"/>
  <c r="AY205" i="1"/>
  <c r="BE205" i="1"/>
  <c r="K206" i="1"/>
  <c r="AG206" i="1"/>
  <c r="M206" i="1"/>
  <c r="BA206" i="1"/>
  <c r="U206" i="1"/>
  <c r="W206" i="1"/>
  <c r="X206" i="1"/>
  <c r="AA206" i="1"/>
  <c r="AB206" i="1"/>
  <c r="AC206" i="1"/>
  <c r="AE206" i="1"/>
  <c r="AF206" i="1"/>
  <c r="AJ206" i="1"/>
  <c r="AK206" i="1"/>
  <c r="AY206" i="1"/>
  <c r="BE206" i="1"/>
  <c r="K207" i="1"/>
  <c r="AG207" i="1"/>
  <c r="M207" i="1"/>
  <c r="BA207" i="1"/>
  <c r="U207" i="1"/>
  <c r="W207" i="1"/>
  <c r="X207" i="1"/>
  <c r="AA207" i="1"/>
  <c r="AB207" i="1"/>
  <c r="AC207" i="1"/>
  <c r="AE207" i="1"/>
  <c r="AF207" i="1"/>
  <c r="AJ207" i="1"/>
  <c r="AK207" i="1"/>
  <c r="AS207" i="1" s="1"/>
  <c r="AY207" i="1"/>
  <c r="BE207" i="1"/>
  <c r="K208" i="1"/>
  <c r="AG208" i="1" s="1"/>
  <c r="M208" i="1"/>
  <c r="BA208" i="1" s="1"/>
  <c r="U208" i="1"/>
  <c r="W208" i="1"/>
  <c r="X208" i="1"/>
  <c r="AA208" i="1"/>
  <c r="AB208" i="1"/>
  <c r="AC208" i="1"/>
  <c r="AE208" i="1"/>
  <c r="AF208" i="1"/>
  <c r="AJ208" i="1"/>
  <c r="BC208" i="1" s="1"/>
  <c r="Y208" i="1" s="1"/>
  <c r="AK208" i="1"/>
  <c r="AS208" i="1"/>
  <c r="AY208" i="1"/>
  <c r="BE208" i="1"/>
  <c r="K209" i="1"/>
  <c r="AG209" i="1"/>
  <c r="M209" i="1"/>
  <c r="BA209" i="1"/>
  <c r="U209" i="1"/>
  <c r="W209" i="1"/>
  <c r="X209" i="1"/>
  <c r="AA209" i="1"/>
  <c r="AB209" i="1"/>
  <c r="AC209" i="1"/>
  <c r="AE209" i="1"/>
  <c r="AF209" i="1"/>
  <c r="AJ209" i="1"/>
  <c r="AR209" i="1"/>
  <c r="AK209" i="1"/>
  <c r="J209" i="1"/>
  <c r="AY209" i="1"/>
  <c r="BE209" i="1"/>
  <c r="K210" i="1"/>
  <c r="M210" i="1"/>
  <c r="BA210" i="1"/>
  <c r="U210" i="1"/>
  <c r="W210" i="1"/>
  <c r="X210" i="1"/>
  <c r="AA210" i="1"/>
  <c r="AB210" i="1"/>
  <c r="AC210" i="1"/>
  <c r="AE210" i="1"/>
  <c r="AF210" i="1"/>
  <c r="AJ210" i="1"/>
  <c r="AR210" i="1" s="1"/>
  <c r="AK210" i="1"/>
  <c r="BD210" i="1" s="1"/>
  <c r="Z210" i="1" s="1"/>
  <c r="AY210" i="1"/>
  <c r="BE210" i="1"/>
  <c r="K211" i="1"/>
  <c r="AG211" i="1"/>
  <c r="M211" i="1"/>
  <c r="BA211" i="1"/>
  <c r="U211" i="1"/>
  <c r="W211" i="1"/>
  <c r="X211" i="1"/>
  <c r="AA211" i="1"/>
  <c r="AB211" i="1"/>
  <c r="AC211" i="1"/>
  <c r="AE211" i="1"/>
  <c r="AF211" i="1"/>
  <c r="AJ211" i="1"/>
  <c r="BC211" i="1"/>
  <c r="Y211" i="1" s="1"/>
  <c r="AK211" i="1"/>
  <c r="J211" i="1"/>
  <c r="AY211" i="1"/>
  <c r="BE211" i="1"/>
  <c r="K212" i="1"/>
  <c r="AG212" i="1" s="1"/>
  <c r="M212" i="1"/>
  <c r="BA212" i="1" s="1"/>
  <c r="U212" i="1"/>
  <c r="W212" i="1"/>
  <c r="X212" i="1"/>
  <c r="AA212" i="1"/>
  <c r="AB212" i="1"/>
  <c r="AC212" i="1"/>
  <c r="AE212" i="1"/>
  <c r="AF212" i="1"/>
  <c r="AJ212" i="1"/>
  <c r="BC212" i="1"/>
  <c r="Y212" i="1"/>
  <c r="AK212" i="1"/>
  <c r="AS212" i="1"/>
  <c r="AY212" i="1"/>
  <c r="BE212" i="1"/>
  <c r="K213" i="1"/>
  <c r="AG213" i="1"/>
  <c r="M213" i="1"/>
  <c r="BA213" i="1"/>
  <c r="U213" i="1"/>
  <c r="W213" i="1"/>
  <c r="X213" i="1"/>
  <c r="AA213" i="1"/>
  <c r="AB213" i="1"/>
  <c r="AC213" i="1"/>
  <c r="AE213" i="1"/>
  <c r="AF213" i="1"/>
  <c r="AJ213" i="1"/>
  <c r="AK213" i="1"/>
  <c r="AS213" i="1" s="1"/>
  <c r="AY213" i="1"/>
  <c r="BE213" i="1"/>
  <c r="K214" i="1"/>
  <c r="AG214" i="1"/>
  <c r="M214" i="1"/>
  <c r="U214" i="1"/>
  <c r="W214" i="1"/>
  <c r="X214" i="1"/>
  <c r="AA214" i="1"/>
  <c r="AB214" i="1"/>
  <c r="AC214" i="1"/>
  <c r="AE214" i="1"/>
  <c r="AF214" i="1"/>
  <c r="AJ214" i="1"/>
  <c r="BC214" i="1"/>
  <c r="Y214" i="1" s="1"/>
  <c r="AK214" i="1"/>
  <c r="AY214" i="1"/>
  <c r="BE214" i="1"/>
  <c r="K215" i="1"/>
  <c r="AG215" i="1"/>
  <c r="M215" i="1"/>
  <c r="BA215" i="1"/>
  <c r="U215" i="1"/>
  <c r="W215" i="1"/>
  <c r="X215" i="1"/>
  <c r="AA215" i="1"/>
  <c r="AB215" i="1"/>
  <c r="AC215" i="1"/>
  <c r="AE215" i="1"/>
  <c r="AF215" i="1"/>
  <c r="AJ215" i="1"/>
  <c r="AR215" i="1"/>
  <c r="AK215" i="1"/>
  <c r="AY215" i="1"/>
  <c r="BE215" i="1"/>
  <c r="K216" i="1"/>
  <c r="AG216" i="1" s="1"/>
  <c r="M216" i="1"/>
  <c r="BA216" i="1" s="1"/>
  <c r="U216" i="1"/>
  <c r="W216" i="1"/>
  <c r="X216" i="1"/>
  <c r="AA216" i="1"/>
  <c r="AB216" i="1"/>
  <c r="AC216" i="1"/>
  <c r="AE216" i="1"/>
  <c r="AF216" i="1"/>
  <c r="AJ216" i="1"/>
  <c r="AK216" i="1"/>
  <c r="BD216" i="1"/>
  <c r="Z216" i="1"/>
  <c r="AY216" i="1"/>
  <c r="BE216" i="1"/>
  <c r="K217" i="1"/>
  <c r="AG217" i="1" s="1"/>
  <c r="M217" i="1"/>
  <c r="BA217" i="1" s="1"/>
  <c r="U217" i="1"/>
  <c r="W217" i="1"/>
  <c r="X217" i="1"/>
  <c r="AA217" i="1"/>
  <c r="AB217" i="1"/>
  <c r="AC217" i="1"/>
  <c r="AE217" i="1"/>
  <c r="AF217" i="1"/>
  <c r="AJ217" i="1"/>
  <c r="AK217" i="1"/>
  <c r="J217" i="1"/>
  <c r="AY217" i="1"/>
  <c r="BE217" i="1"/>
  <c r="K218" i="1"/>
  <c r="AG218" i="1"/>
  <c r="M218" i="1"/>
  <c r="BA218" i="1"/>
  <c r="U218" i="1"/>
  <c r="W218" i="1"/>
  <c r="X218" i="1"/>
  <c r="AA218" i="1"/>
  <c r="AB218" i="1"/>
  <c r="AC218" i="1"/>
  <c r="AE218" i="1"/>
  <c r="AF218" i="1"/>
  <c r="AJ218" i="1"/>
  <c r="BC218" i="1"/>
  <c r="Y218" i="1" s="1"/>
  <c r="AK218" i="1"/>
  <c r="AS218" i="1" s="1"/>
  <c r="AY218" i="1"/>
  <c r="BE218" i="1"/>
  <c r="K219" i="1"/>
  <c r="AG219" i="1"/>
  <c r="M219" i="1"/>
  <c r="BA219" i="1" s="1"/>
  <c r="U219" i="1"/>
  <c r="W219" i="1"/>
  <c r="X219" i="1"/>
  <c r="AA219" i="1"/>
  <c r="AB219" i="1"/>
  <c r="AC219" i="1"/>
  <c r="AE219" i="1"/>
  <c r="AF219" i="1"/>
  <c r="AJ219" i="1"/>
  <c r="AR219" i="1" s="1"/>
  <c r="AK219" i="1"/>
  <c r="AS219" i="1" s="1"/>
  <c r="AY219" i="1"/>
  <c r="BE219" i="1"/>
  <c r="K220" i="1"/>
  <c r="AG220" i="1" s="1"/>
  <c r="M220" i="1"/>
  <c r="BA220" i="1" s="1"/>
  <c r="U220" i="1"/>
  <c r="W220" i="1"/>
  <c r="X220" i="1"/>
  <c r="AA220" i="1"/>
  <c r="AB220" i="1"/>
  <c r="AC220" i="1"/>
  <c r="AE220" i="1"/>
  <c r="AF220" i="1"/>
  <c r="AJ220" i="1"/>
  <c r="AR220" i="1" s="1"/>
  <c r="AK220" i="1"/>
  <c r="BD220" i="1"/>
  <c r="Z220" i="1" s="1"/>
  <c r="AY220" i="1"/>
  <c r="BE220" i="1"/>
  <c r="K221" i="1"/>
  <c r="AG221" i="1"/>
  <c r="M221" i="1"/>
  <c r="BA221" i="1"/>
  <c r="U221" i="1"/>
  <c r="W221" i="1"/>
  <c r="X221" i="1"/>
  <c r="AA221" i="1"/>
  <c r="AB221" i="1"/>
  <c r="AC221" i="1"/>
  <c r="AE221" i="1"/>
  <c r="AF221" i="1"/>
  <c r="AJ221" i="1"/>
  <c r="AK221" i="1"/>
  <c r="AS221" i="1" s="1"/>
  <c r="AY221" i="1"/>
  <c r="BE221" i="1"/>
  <c r="K222" i="1"/>
  <c r="AG222" i="1" s="1"/>
  <c r="M222" i="1"/>
  <c r="BA222" i="1"/>
  <c r="U222" i="1"/>
  <c r="W222" i="1"/>
  <c r="X222" i="1"/>
  <c r="AA222" i="1"/>
  <c r="AB222" i="1"/>
  <c r="AC222" i="1"/>
  <c r="AE222" i="1"/>
  <c r="AF222" i="1"/>
  <c r="AJ222" i="1"/>
  <c r="AR222" i="1" s="1"/>
  <c r="AK222" i="1"/>
  <c r="AY222" i="1"/>
  <c r="BE222" i="1"/>
  <c r="K223" i="1"/>
  <c r="AG223" i="1"/>
  <c r="M223" i="1"/>
  <c r="BA223" i="1"/>
  <c r="U223" i="1"/>
  <c r="W223" i="1"/>
  <c r="X223" i="1"/>
  <c r="AA223" i="1"/>
  <c r="AB223" i="1"/>
  <c r="AC223" i="1"/>
  <c r="AE223" i="1"/>
  <c r="AF223" i="1"/>
  <c r="AJ223" i="1"/>
  <c r="I223" i="1"/>
  <c r="AK223" i="1"/>
  <c r="J223" i="1"/>
  <c r="AY223" i="1"/>
  <c r="BE223" i="1"/>
  <c r="K224" i="1"/>
  <c r="AG224" i="1"/>
  <c r="M224" i="1"/>
  <c r="BA224" i="1"/>
  <c r="U224" i="1"/>
  <c r="W224" i="1"/>
  <c r="X224" i="1"/>
  <c r="AA224" i="1"/>
  <c r="AB224" i="1"/>
  <c r="AC224" i="1"/>
  <c r="AE224" i="1"/>
  <c r="AF224" i="1"/>
  <c r="AJ224" i="1"/>
  <c r="BC224" i="1"/>
  <c r="Y224" i="1" s="1"/>
  <c r="AK224" i="1"/>
  <c r="AS224" i="1"/>
  <c r="AY224" i="1"/>
  <c r="BE224" i="1"/>
  <c r="K225" i="1"/>
  <c r="AG225" i="1" s="1"/>
  <c r="M225" i="1"/>
  <c r="BA225" i="1" s="1"/>
  <c r="U225" i="1"/>
  <c r="W225" i="1"/>
  <c r="X225" i="1"/>
  <c r="AA225" i="1"/>
  <c r="AB225" i="1"/>
  <c r="AC225" i="1"/>
  <c r="AE225" i="1"/>
  <c r="AF225" i="1"/>
  <c r="AJ225" i="1"/>
  <c r="AR225" i="1"/>
  <c r="AK225" i="1"/>
  <c r="AS225" i="1" s="1"/>
  <c r="AX225" i="1"/>
  <c r="AY225" i="1"/>
  <c r="BE225" i="1"/>
  <c r="K226" i="1"/>
  <c r="AG226" i="1"/>
  <c r="M226" i="1"/>
  <c r="BA226" i="1"/>
  <c r="U226" i="1"/>
  <c r="W226" i="1"/>
  <c r="X226" i="1"/>
  <c r="AA226" i="1"/>
  <c r="AB226" i="1"/>
  <c r="AC226" i="1"/>
  <c r="AE226" i="1"/>
  <c r="AF226" i="1"/>
  <c r="AJ226" i="1"/>
  <c r="I226" i="1"/>
  <c r="AK226" i="1"/>
  <c r="AY226" i="1"/>
  <c r="BE226" i="1"/>
  <c r="K227" i="1"/>
  <c r="AG227" i="1"/>
  <c r="M227" i="1"/>
  <c r="BA227" i="1" s="1"/>
  <c r="U227" i="1"/>
  <c r="W227" i="1"/>
  <c r="X227" i="1"/>
  <c r="AA227" i="1"/>
  <c r="AB227" i="1"/>
  <c r="AC227" i="1"/>
  <c r="AE227" i="1"/>
  <c r="AF227" i="1"/>
  <c r="AJ227" i="1"/>
  <c r="AK227" i="1"/>
  <c r="AY227" i="1"/>
  <c r="BE227" i="1"/>
  <c r="K228" i="1"/>
  <c r="AG228" i="1"/>
  <c r="M228" i="1"/>
  <c r="U228" i="1"/>
  <c r="W228" i="1"/>
  <c r="X228" i="1"/>
  <c r="AA228" i="1"/>
  <c r="AB228" i="1"/>
  <c r="AC228" i="1"/>
  <c r="AE228" i="1"/>
  <c r="AF228" i="1"/>
  <c r="AJ228" i="1"/>
  <c r="AR228" i="1"/>
  <c r="AK228" i="1"/>
  <c r="BD228" i="1"/>
  <c r="Z228" i="1" s="1"/>
  <c r="AY228" i="1"/>
  <c r="BA228" i="1"/>
  <c r="BE228" i="1"/>
  <c r="K229" i="1"/>
  <c r="AG229" i="1"/>
  <c r="M229" i="1"/>
  <c r="BA229" i="1"/>
  <c r="U229" i="1"/>
  <c r="W229" i="1"/>
  <c r="X229" i="1"/>
  <c r="AA229" i="1"/>
  <c r="AB229" i="1"/>
  <c r="AC229" i="1"/>
  <c r="AE229" i="1"/>
  <c r="AF229" i="1"/>
  <c r="AJ229" i="1"/>
  <c r="BC229" i="1"/>
  <c r="Y229" i="1"/>
  <c r="AK229" i="1"/>
  <c r="J229" i="1" s="1"/>
  <c r="AY229" i="1"/>
  <c r="BE229" i="1"/>
  <c r="K230" i="1"/>
  <c r="AG230" i="1" s="1"/>
  <c r="M230" i="1"/>
  <c r="BA230" i="1"/>
  <c r="U230" i="1"/>
  <c r="W230" i="1"/>
  <c r="X230" i="1"/>
  <c r="AA230" i="1"/>
  <c r="AB230" i="1"/>
  <c r="AC230" i="1"/>
  <c r="AE230" i="1"/>
  <c r="AF230" i="1"/>
  <c r="AJ230" i="1"/>
  <c r="BC230" i="1" s="1"/>
  <c r="Y230" i="1"/>
  <c r="AK230" i="1"/>
  <c r="AS230" i="1"/>
  <c r="AY230" i="1"/>
  <c r="BE230" i="1"/>
  <c r="K231" i="1"/>
  <c r="AG231" i="1" s="1"/>
  <c r="M231" i="1"/>
  <c r="BA231" i="1"/>
  <c r="U231" i="1"/>
  <c r="W231" i="1"/>
  <c r="X231" i="1"/>
  <c r="AA231" i="1"/>
  <c r="AB231" i="1"/>
  <c r="AC231" i="1"/>
  <c r="AE231" i="1"/>
  <c r="AF231" i="1"/>
  <c r="AJ231" i="1"/>
  <c r="AK231" i="1"/>
  <c r="AY231" i="1"/>
  <c r="BE231" i="1"/>
  <c r="K232" i="1"/>
  <c r="AG232" i="1" s="1"/>
  <c r="M232" i="1"/>
  <c r="BA232" i="1"/>
  <c r="U232" i="1"/>
  <c r="W232" i="1"/>
  <c r="X232" i="1"/>
  <c r="AA232" i="1"/>
  <c r="AB232" i="1"/>
  <c r="AC232" i="1"/>
  <c r="AE232" i="1"/>
  <c r="AF232" i="1"/>
  <c r="AJ232" i="1"/>
  <c r="I232" i="1"/>
  <c r="AK232" i="1"/>
  <c r="J232" i="1"/>
  <c r="AY232" i="1"/>
  <c r="BE232" i="1"/>
  <c r="K233" i="1"/>
  <c r="AG233" i="1"/>
  <c r="M233" i="1"/>
  <c r="BA233" i="1"/>
  <c r="U233" i="1"/>
  <c r="W233" i="1"/>
  <c r="X233" i="1"/>
  <c r="AA233" i="1"/>
  <c r="AB233" i="1"/>
  <c r="AC233" i="1"/>
  <c r="AE233" i="1"/>
  <c r="AF233" i="1"/>
  <c r="AJ233" i="1"/>
  <c r="I233" i="1"/>
  <c r="AK233" i="1"/>
  <c r="J233" i="1" s="1"/>
  <c r="AY233" i="1"/>
  <c r="BE233" i="1"/>
  <c r="K234" i="1"/>
  <c r="AG234" i="1"/>
  <c r="M234" i="1"/>
  <c r="BA234" i="1"/>
  <c r="U234" i="1"/>
  <c r="W234" i="1"/>
  <c r="X234" i="1"/>
  <c r="AA234" i="1"/>
  <c r="AB234" i="1"/>
  <c r="AC234" i="1"/>
  <c r="AE234" i="1"/>
  <c r="AF234" i="1"/>
  <c r="AJ234" i="1"/>
  <c r="AR234" i="1" s="1"/>
  <c r="AK234" i="1"/>
  <c r="BD234" i="1"/>
  <c r="Z234" i="1" s="1"/>
  <c r="AY234" i="1"/>
  <c r="BE234" i="1"/>
  <c r="K235" i="1"/>
  <c r="AG235" i="1"/>
  <c r="M235" i="1"/>
  <c r="BA235" i="1" s="1"/>
  <c r="U235" i="1"/>
  <c r="W235" i="1"/>
  <c r="X235" i="1"/>
  <c r="AA235" i="1"/>
  <c r="AB235" i="1"/>
  <c r="AC235" i="1"/>
  <c r="AE235" i="1"/>
  <c r="AF235" i="1"/>
  <c r="AJ235" i="1"/>
  <c r="AK235" i="1"/>
  <c r="BD235" i="1"/>
  <c r="Z235" i="1" s="1"/>
  <c r="AY235" i="1"/>
  <c r="BE235" i="1"/>
  <c r="K236" i="1"/>
  <c r="AG236" i="1" s="1"/>
  <c r="M236" i="1"/>
  <c r="BA236" i="1" s="1"/>
  <c r="U236" i="1"/>
  <c r="W236" i="1"/>
  <c r="X236" i="1"/>
  <c r="AA236" i="1"/>
  <c r="AB236" i="1"/>
  <c r="AC236" i="1"/>
  <c r="AE236" i="1"/>
  <c r="AF236" i="1"/>
  <c r="AJ236" i="1"/>
  <c r="I236" i="1" s="1"/>
  <c r="AK236" i="1"/>
  <c r="AS236" i="1"/>
  <c r="AY236" i="1"/>
  <c r="BE236" i="1"/>
  <c r="K237" i="1"/>
  <c r="AG237" i="1" s="1"/>
  <c r="M237" i="1"/>
  <c r="BA237" i="1" s="1"/>
  <c r="U237" i="1"/>
  <c r="W237" i="1"/>
  <c r="X237" i="1"/>
  <c r="AA237" i="1"/>
  <c r="AB237" i="1"/>
  <c r="AC237" i="1"/>
  <c r="AE237" i="1"/>
  <c r="AF237" i="1"/>
  <c r="AJ237" i="1"/>
  <c r="AR237" i="1"/>
  <c r="AK237" i="1"/>
  <c r="AY237" i="1"/>
  <c r="BE237" i="1"/>
  <c r="K238" i="1"/>
  <c r="AG238" i="1"/>
  <c r="M238" i="1"/>
  <c r="BA238" i="1"/>
  <c r="U238" i="1"/>
  <c r="W238" i="1"/>
  <c r="X238" i="1"/>
  <c r="AA238" i="1"/>
  <c r="AB238" i="1"/>
  <c r="AC238" i="1"/>
  <c r="AE238" i="1"/>
  <c r="AF238" i="1"/>
  <c r="AJ238" i="1"/>
  <c r="BC238" i="1" s="1"/>
  <c r="Y238" i="1" s="1"/>
  <c r="AK238" i="1"/>
  <c r="J238" i="1" s="1"/>
  <c r="AY238" i="1"/>
  <c r="BE238" i="1"/>
  <c r="K239" i="1"/>
  <c r="AG239" i="1"/>
  <c r="M239" i="1"/>
  <c r="BA239" i="1" s="1"/>
  <c r="U239" i="1"/>
  <c r="W239" i="1"/>
  <c r="X239" i="1"/>
  <c r="AA239" i="1"/>
  <c r="AB239" i="1"/>
  <c r="AC239" i="1"/>
  <c r="AE239" i="1"/>
  <c r="AF239" i="1"/>
  <c r="AJ239" i="1"/>
  <c r="AR239" i="1" s="1"/>
  <c r="AK239" i="1"/>
  <c r="AY239" i="1"/>
  <c r="BE239" i="1"/>
  <c r="K240" i="1"/>
  <c r="AG240" i="1" s="1"/>
  <c r="M240" i="1"/>
  <c r="BA240" i="1"/>
  <c r="U240" i="1"/>
  <c r="W240" i="1"/>
  <c r="X240" i="1"/>
  <c r="AA240" i="1"/>
  <c r="AB240" i="1"/>
  <c r="AC240" i="1"/>
  <c r="AE240" i="1"/>
  <c r="AF240" i="1"/>
  <c r="AJ240" i="1"/>
  <c r="I240" i="1"/>
  <c r="AK240" i="1"/>
  <c r="BD240" i="1"/>
  <c r="Z240" i="1"/>
  <c r="AY240" i="1"/>
  <c r="BE240" i="1"/>
  <c r="K241" i="1"/>
  <c r="AG241" i="1" s="1"/>
  <c r="M241" i="1"/>
  <c r="BA241" i="1" s="1"/>
  <c r="U241" i="1"/>
  <c r="W241" i="1"/>
  <c r="X241" i="1"/>
  <c r="AA241" i="1"/>
  <c r="AB241" i="1"/>
  <c r="AC241" i="1"/>
  <c r="AE241" i="1"/>
  <c r="AF241" i="1"/>
  <c r="AJ241" i="1"/>
  <c r="BC241" i="1"/>
  <c r="Y241" i="1" s="1"/>
  <c r="AK241" i="1"/>
  <c r="J241" i="1"/>
  <c r="AY241" i="1"/>
  <c r="BE241" i="1"/>
  <c r="K242" i="1"/>
  <c r="AG242" i="1"/>
  <c r="M242" i="1"/>
  <c r="BA242" i="1" s="1"/>
  <c r="U242" i="1"/>
  <c r="W242" i="1"/>
  <c r="X242" i="1"/>
  <c r="AA242" i="1"/>
  <c r="AB242" i="1"/>
  <c r="AC242" i="1"/>
  <c r="AE242" i="1"/>
  <c r="AF242" i="1"/>
  <c r="AJ242" i="1"/>
  <c r="AK242" i="1"/>
  <c r="AY242" i="1"/>
  <c r="BE242" i="1"/>
  <c r="K243" i="1"/>
  <c r="AG243" i="1"/>
  <c r="M243" i="1"/>
  <c r="BA243" i="1" s="1"/>
  <c r="U243" i="1"/>
  <c r="W243" i="1"/>
  <c r="X243" i="1"/>
  <c r="AA243" i="1"/>
  <c r="AB243" i="1"/>
  <c r="AC243" i="1"/>
  <c r="AE243" i="1"/>
  <c r="AF243" i="1"/>
  <c r="AJ243" i="1"/>
  <c r="AR243" i="1"/>
  <c r="AK243" i="1"/>
  <c r="AY243" i="1"/>
  <c r="BE243" i="1"/>
  <c r="K244" i="1"/>
  <c r="AG244" i="1"/>
  <c r="M244" i="1"/>
  <c r="BA244" i="1" s="1"/>
  <c r="U244" i="1"/>
  <c r="W244" i="1"/>
  <c r="X244" i="1"/>
  <c r="AA244" i="1"/>
  <c r="AB244" i="1"/>
  <c r="AC244" i="1"/>
  <c r="AE244" i="1"/>
  <c r="AF244" i="1"/>
  <c r="AJ244" i="1"/>
  <c r="BC244" i="1" s="1"/>
  <c r="Y244" i="1" s="1"/>
  <c r="AK244" i="1"/>
  <c r="AS244" i="1"/>
  <c r="AY244" i="1"/>
  <c r="BE244" i="1"/>
  <c r="K245" i="1"/>
  <c r="AG245" i="1"/>
  <c r="M245" i="1"/>
  <c r="BA245" i="1"/>
  <c r="U245" i="1"/>
  <c r="W245" i="1"/>
  <c r="X245" i="1"/>
  <c r="AA245" i="1"/>
  <c r="AB245" i="1"/>
  <c r="AC245" i="1"/>
  <c r="AE245" i="1"/>
  <c r="AF245" i="1"/>
  <c r="AJ245" i="1"/>
  <c r="I245" i="1"/>
  <c r="AK245" i="1"/>
  <c r="J245" i="1" s="1"/>
  <c r="AY245" i="1"/>
  <c r="BE245" i="1"/>
  <c r="K246" i="1"/>
  <c r="AG246" i="1"/>
  <c r="M246" i="1"/>
  <c r="BA246" i="1"/>
  <c r="U246" i="1"/>
  <c r="W246" i="1"/>
  <c r="X246" i="1"/>
  <c r="AA246" i="1"/>
  <c r="AB246" i="1"/>
  <c r="AC246" i="1"/>
  <c r="AE246" i="1"/>
  <c r="AF246" i="1"/>
  <c r="AJ246" i="1"/>
  <c r="AK246" i="1"/>
  <c r="BD246" i="1" s="1"/>
  <c r="Z246" i="1"/>
  <c r="AY246" i="1"/>
  <c r="BE246" i="1"/>
  <c r="K247" i="1"/>
  <c r="AG247" i="1"/>
  <c r="M247" i="1"/>
  <c r="BA247" i="1" s="1"/>
  <c r="U247" i="1"/>
  <c r="W247" i="1"/>
  <c r="X247" i="1"/>
  <c r="AA247" i="1"/>
  <c r="AB247" i="1"/>
  <c r="AC247" i="1"/>
  <c r="AE247" i="1"/>
  <c r="AF247" i="1"/>
  <c r="AJ247" i="1"/>
  <c r="I247" i="1"/>
  <c r="AK247" i="1"/>
  <c r="AY247" i="1"/>
  <c r="BE247" i="1"/>
  <c r="K248" i="1"/>
  <c r="AG248" i="1"/>
  <c r="M248" i="1"/>
  <c r="BA248" i="1" s="1"/>
  <c r="U248" i="1"/>
  <c r="W248" i="1"/>
  <c r="X248" i="1"/>
  <c r="AA248" i="1"/>
  <c r="AB248" i="1"/>
  <c r="AC248" i="1"/>
  <c r="AE248" i="1"/>
  <c r="AF248" i="1"/>
  <c r="AJ248" i="1"/>
  <c r="AR248" i="1" s="1"/>
  <c r="AK248" i="1"/>
  <c r="AS248" i="1" s="1"/>
  <c r="AY248" i="1"/>
  <c r="BE248" i="1"/>
  <c r="K249" i="1"/>
  <c r="AG249" i="1" s="1"/>
  <c r="M249" i="1"/>
  <c r="BA249" i="1" s="1"/>
  <c r="U249" i="1"/>
  <c r="W249" i="1"/>
  <c r="X249" i="1"/>
  <c r="AA249" i="1"/>
  <c r="AB249" i="1"/>
  <c r="AC249" i="1"/>
  <c r="AE249" i="1"/>
  <c r="AF249" i="1"/>
  <c r="AJ249" i="1"/>
  <c r="AR249" i="1" s="1"/>
  <c r="AK249" i="1"/>
  <c r="AY249" i="1"/>
  <c r="BE249" i="1"/>
  <c r="K250" i="1"/>
  <c r="AG250" i="1"/>
  <c r="M250" i="1"/>
  <c r="BA250" i="1"/>
  <c r="U250" i="1"/>
  <c r="W250" i="1"/>
  <c r="X250" i="1"/>
  <c r="AA250" i="1"/>
  <c r="AB250" i="1"/>
  <c r="AC250" i="1"/>
  <c r="AE250" i="1"/>
  <c r="AF250" i="1"/>
  <c r="AJ250" i="1"/>
  <c r="I250" i="1"/>
  <c r="AK250" i="1"/>
  <c r="AS250" i="1" s="1"/>
  <c r="AY250" i="1"/>
  <c r="BE250" i="1"/>
  <c r="K251" i="1"/>
  <c r="AG251" i="1"/>
  <c r="M251" i="1"/>
  <c r="BA251" i="1"/>
  <c r="U251" i="1"/>
  <c r="W251" i="1"/>
  <c r="X251" i="1"/>
  <c r="AA251" i="1"/>
  <c r="AB251" i="1"/>
  <c r="AC251" i="1"/>
  <c r="AE251" i="1"/>
  <c r="AF251" i="1"/>
  <c r="AJ251" i="1"/>
  <c r="AK251" i="1"/>
  <c r="J251" i="1" s="1"/>
  <c r="AY251" i="1"/>
  <c r="BE251" i="1"/>
  <c r="K252" i="1"/>
  <c r="AG252" i="1" s="1"/>
  <c r="M252" i="1"/>
  <c r="BA252" i="1"/>
  <c r="U252" i="1"/>
  <c r="W252" i="1"/>
  <c r="X252" i="1"/>
  <c r="AA252" i="1"/>
  <c r="AB252" i="1"/>
  <c r="AC252" i="1"/>
  <c r="AE252" i="1"/>
  <c r="AF252" i="1"/>
  <c r="AJ252" i="1"/>
  <c r="I252" i="1" s="1"/>
  <c r="AK252" i="1"/>
  <c r="AY252" i="1"/>
  <c r="BE252" i="1"/>
  <c r="K253" i="1"/>
  <c r="AG253" i="1"/>
  <c r="M253" i="1"/>
  <c r="BA253" i="1" s="1"/>
  <c r="U253" i="1"/>
  <c r="W253" i="1"/>
  <c r="X253" i="1"/>
  <c r="AA253" i="1"/>
  <c r="AB253" i="1"/>
  <c r="AC253" i="1"/>
  <c r="AE253" i="1"/>
  <c r="AF253" i="1"/>
  <c r="AJ253" i="1"/>
  <c r="AR253" i="1"/>
  <c r="AK253" i="1"/>
  <c r="J253" i="1"/>
  <c r="AY253" i="1"/>
  <c r="BE253" i="1"/>
  <c r="K254" i="1"/>
  <c r="AG254" i="1" s="1"/>
  <c r="M254" i="1"/>
  <c r="BA254" i="1"/>
  <c r="U254" i="1"/>
  <c r="W254" i="1"/>
  <c r="X254" i="1"/>
  <c r="AA254" i="1"/>
  <c r="AB254" i="1"/>
  <c r="AC254" i="1"/>
  <c r="AE254" i="1"/>
  <c r="AF254" i="1"/>
  <c r="AJ254" i="1"/>
  <c r="AK254" i="1"/>
  <c r="AS254" i="1" s="1"/>
  <c r="AY254" i="1"/>
  <c r="BE254" i="1"/>
  <c r="K255" i="1"/>
  <c r="AG255" i="1" s="1"/>
  <c r="M255" i="1"/>
  <c r="BA255" i="1" s="1"/>
  <c r="U255" i="1"/>
  <c r="W255" i="1"/>
  <c r="X255" i="1"/>
  <c r="AA255" i="1"/>
  <c r="AB255" i="1"/>
  <c r="AC255" i="1"/>
  <c r="AE255" i="1"/>
  <c r="AF255" i="1"/>
  <c r="AJ255" i="1"/>
  <c r="I255" i="1" s="1"/>
  <c r="AK255" i="1"/>
  <c r="AY255" i="1"/>
  <c r="BE255" i="1"/>
  <c r="K256" i="1"/>
  <c r="AG256" i="1"/>
  <c r="M256" i="1"/>
  <c r="U256" i="1"/>
  <c r="W256" i="1"/>
  <c r="X256" i="1"/>
  <c r="AA256" i="1"/>
  <c r="AB256" i="1"/>
  <c r="AC256" i="1"/>
  <c r="AE256" i="1"/>
  <c r="AF256" i="1"/>
  <c r="AJ256" i="1"/>
  <c r="AK256" i="1"/>
  <c r="AY256" i="1"/>
  <c r="BA256" i="1"/>
  <c r="BE256" i="1"/>
  <c r="K257" i="1"/>
  <c r="AG257" i="1"/>
  <c r="M257" i="1"/>
  <c r="BA257" i="1"/>
  <c r="U257" i="1"/>
  <c r="W257" i="1"/>
  <c r="X257" i="1"/>
  <c r="AA257" i="1"/>
  <c r="AB257" i="1"/>
  <c r="AC257" i="1"/>
  <c r="AE257" i="1"/>
  <c r="AF257" i="1"/>
  <c r="AJ257" i="1"/>
  <c r="BC257" i="1"/>
  <c r="Y257" i="1"/>
  <c r="AK257" i="1"/>
  <c r="AS257" i="1" s="1"/>
  <c r="AY257" i="1"/>
  <c r="BE257" i="1"/>
  <c r="K258" i="1"/>
  <c r="AG258" i="1" s="1"/>
  <c r="M258" i="1"/>
  <c r="BA258" i="1"/>
  <c r="U258" i="1"/>
  <c r="W258" i="1"/>
  <c r="X258" i="1"/>
  <c r="AA258" i="1"/>
  <c r="AB258" i="1"/>
  <c r="AC258" i="1"/>
  <c r="AE258" i="1"/>
  <c r="AF258" i="1"/>
  <c r="AJ258" i="1"/>
  <c r="BC258" i="1" s="1"/>
  <c r="Y258" i="1"/>
  <c r="AK258" i="1"/>
  <c r="BD258" i="1"/>
  <c r="Z258" i="1" s="1"/>
  <c r="AY258" i="1"/>
  <c r="BE258" i="1"/>
  <c r="K259" i="1"/>
  <c r="AG259" i="1" s="1"/>
  <c r="M259" i="1"/>
  <c r="BA259" i="1" s="1"/>
  <c r="U259" i="1"/>
  <c r="W259" i="1"/>
  <c r="X259" i="1"/>
  <c r="AA259" i="1"/>
  <c r="AB259" i="1"/>
  <c r="AC259" i="1"/>
  <c r="AE259" i="1"/>
  <c r="AF259" i="1"/>
  <c r="AJ259" i="1"/>
  <c r="BC259" i="1" s="1"/>
  <c r="Y259" i="1" s="1"/>
  <c r="AK259" i="1"/>
  <c r="J259" i="1" s="1"/>
  <c r="AY259" i="1"/>
  <c r="BE259" i="1"/>
  <c r="K260" i="1"/>
  <c r="AG260" i="1"/>
  <c r="M260" i="1"/>
  <c r="BA260" i="1"/>
  <c r="U260" i="1"/>
  <c r="W260" i="1"/>
  <c r="X260" i="1"/>
  <c r="AA260" i="1"/>
  <c r="AB260" i="1"/>
  <c r="AC260" i="1"/>
  <c r="AE260" i="1"/>
  <c r="AF260" i="1"/>
  <c r="AJ260" i="1"/>
  <c r="I260" i="1" s="1"/>
  <c r="AK260" i="1"/>
  <c r="J260" i="1"/>
  <c r="AY260" i="1"/>
  <c r="BE260" i="1"/>
  <c r="K261" i="1"/>
  <c r="AG261" i="1"/>
  <c r="M261" i="1"/>
  <c r="BA261" i="1" s="1"/>
  <c r="U261" i="1"/>
  <c r="W261" i="1"/>
  <c r="X261" i="1"/>
  <c r="AA261" i="1"/>
  <c r="AB261" i="1"/>
  <c r="AC261" i="1"/>
  <c r="AE261" i="1"/>
  <c r="AF261" i="1"/>
  <c r="AJ261" i="1"/>
  <c r="AK261" i="1"/>
  <c r="AS261" i="1" s="1"/>
  <c r="AY261" i="1"/>
  <c r="BE261" i="1"/>
  <c r="K262" i="1"/>
  <c r="AG262" i="1"/>
  <c r="M262" i="1"/>
  <c r="BA262" i="1" s="1"/>
  <c r="U262" i="1"/>
  <c r="W262" i="1"/>
  <c r="X262" i="1"/>
  <c r="AA262" i="1"/>
  <c r="AB262" i="1"/>
  <c r="AC262" i="1"/>
  <c r="AE262" i="1"/>
  <c r="AF262" i="1"/>
  <c r="AJ262" i="1"/>
  <c r="I262" i="1" s="1"/>
  <c r="AK262" i="1"/>
  <c r="BD262" i="1" s="1"/>
  <c r="Z262" i="1" s="1"/>
  <c r="AY262" i="1"/>
  <c r="BE262" i="1"/>
  <c r="K263" i="1"/>
  <c r="AG263" i="1"/>
  <c r="M263" i="1"/>
  <c r="BA263" i="1"/>
  <c r="U263" i="1"/>
  <c r="W263" i="1"/>
  <c r="X263" i="1"/>
  <c r="AA263" i="1"/>
  <c r="AB263" i="1"/>
  <c r="AC263" i="1"/>
  <c r="AE263" i="1"/>
  <c r="AF263" i="1"/>
  <c r="AJ263" i="1"/>
  <c r="BC263" i="1"/>
  <c r="Y263" i="1"/>
  <c r="AK263" i="1"/>
  <c r="AY263" i="1"/>
  <c r="BE263" i="1"/>
  <c r="K264" i="1"/>
  <c r="AG264" i="1"/>
  <c r="M264" i="1"/>
  <c r="BA264" i="1"/>
  <c r="U264" i="1"/>
  <c r="W264" i="1"/>
  <c r="X264" i="1"/>
  <c r="AA264" i="1"/>
  <c r="AB264" i="1"/>
  <c r="AC264" i="1"/>
  <c r="AE264" i="1"/>
  <c r="AF264" i="1"/>
  <c r="AJ264" i="1"/>
  <c r="AR264" i="1" s="1"/>
  <c r="AK264" i="1"/>
  <c r="BD264" i="1"/>
  <c r="Z264" i="1" s="1"/>
  <c r="AY264" i="1"/>
  <c r="BE264" i="1"/>
  <c r="K265" i="1"/>
  <c r="AG265" i="1"/>
  <c r="M265" i="1"/>
  <c r="BA265" i="1" s="1"/>
  <c r="U265" i="1"/>
  <c r="W265" i="1"/>
  <c r="X265" i="1"/>
  <c r="AA265" i="1"/>
  <c r="AB265" i="1"/>
  <c r="AC265" i="1"/>
  <c r="AE265" i="1"/>
  <c r="AF265" i="1"/>
  <c r="AJ265" i="1"/>
  <c r="I265" i="1" s="1"/>
  <c r="AK265" i="1"/>
  <c r="AY265" i="1"/>
  <c r="BE265" i="1"/>
  <c r="K266" i="1"/>
  <c r="AG266" i="1" s="1"/>
  <c r="M266" i="1"/>
  <c r="BA266" i="1"/>
  <c r="U266" i="1"/>
  <c r="W266" i="1"/>
  <c r="X266" i="1"/>
  <c r="AA266" i="1"/>
  <c r="AB266" i="1"/>
  <c r="AC266" i="1"/>
  <c r="AE266" i="1"/>
  <c r="AF266" i="1"/>
  <c r="AJ266" i="1"/>
  <c r="AK266" i="1"/>
  <c r="AS266" i="1" s="1"/>
  <c r="AY266" i="1"/>
  <c r="BE266" i="1"/>
  <c r="K267" i="1"/>
  <c r="AG267" i="1" s="1"/>
  <c r="M267" i="1"/>
  <c r="BA267" i="1" s="1"/>
  <c r="U267" i="1"/>
  <c r="W267" i="1"/>
  <c r="X267" i="1"/>
  <c r="AA267" i="1"/>
  <c r="AB267" i="1"/>
  <c r="AC267" i="1"/>
  <c r="AE267" i="1"/>
  <c r="AF267" i="1"/>
  <c r="AJ267" i="1"/>
  <c r="AR267" i="1" s="1"/>
  <c r="AK267" i="1"/>
  <c r="AY267" i="1"/>
  <c r="BE267" i="1"/>
  <c r="K268" i="1"/>
  <c r="AG268" i="1"/>
  <c r="M268" i="1"/>
  <c r="BA268" i="1"/>
  <c r="U268" i="1"/>
  <c r="W268" i="1"/>
  <c r="X268" i="1"/>
  <c r="AA268" i="1"/>
  <c r="AB268" i="1"/>
  <c r="AC268" i="1"/>
  <c r="AE268" i="1"/>
  <c r="AF268" i="1"/>
  <c r="AJ268" i="1"/>
  <c r="AK268" i="1"/>
  <c r="AS268" i="1"/>
  <c r="AY268" i="1"/>
  <c r="BE268" i="1"/>
  <c r="K269" i="1"/>
  <c r="AG269" i="1" s="1"/>
  <c r="M269" i="1"/>
  <c r="BA269" i="1" s="1"/>
  <c r="U269" i="1"/>
  <c r="W269" i="1"/>
  <c r="X269" i="1"/>
  <c r="AA269" i="1"/>
  <c r="AB269" i="1"/>
  <c r="AC269" i="1"/>
  <c r="AE269" i="1"/>
  <c r="AF269" i="1"/>
  <c r="AJ269" i="1"/>
  <c r="I269" i="1"/>
  <c r="AK269" i="1"/>
  <c r="BD269" i="1" s="1"/>
  <c r="Z269" i="1" s="1"/>
  <c r="AY269" i="1"/>
  <c r="BE269" i="1"/>
  <c r="K270" i="1"/>
  <c r="AG270" i="1"/>
  <c r="M270" i="1"/>
  <c r="BA270" i="1" s="1"/>
  <c r="U270" i="1"/>
  <c r="W270" i="1"/>
  <c r="X270" i="1"/>
  <c r="AA270" i="1"/>
  <c r="AB270" i="1"/>
  <c r="AC270" i="1"/>
  <c r="AE270" i="1"/>
  <c r="AF270" i="1"/>
  <c r="AJ270" i="1"/>
  <c r="BC270" i="1"/>
  <c r="Y270" i="1" s="1"/>
  <c r="AK270" i="1"/>
  <c r="BD270" i="1" s="1"/>
  <c r="Z270" i="1" s="1"/>
  <c r="AY270" i="1"/>
  <c r="BE270" i="1"/>
  <c r="K271" i="1"/>
  <c r="AG271" i="1"/>
  <c r="M271" i="1"/>
  <c r="BA271" i="1"/>
  <c r="U271" i="1"/>
  <c r="W271" i="1"/>
  <c r="X271" i="1"/>
  <c r="AA271" i="1"/>
  <c r="AB271" i="1"/>
  <c r="AC271" i="1"/>
  <c r="AE271" i="1"/>
  <c r="AF271" i="1"/>
  <c r="AJ271" i="1"/>
  <c r="BC271" i="1"/>
  <c r="Y271" i="1"/>
  <c r="AK271" i="1"/>
  <c r="J271" i="1" s="1"/>
  <c r="AY271" i="1"/>
  <c r="BE271" i="1"/>
  <c r="K272" i="1"/>
  <c r="AG272" i="1" s="1"/>
  <c r="M272" i="1"/>
  <c r="BA272" i="1"/>
  <c r="U272" i="1"/>
  <c r="W272" i="1"/>
  <c r="X272" i="1"/>
  <c r="AA272" i="1"/>
  <c r="AB272" i="1"/>
  <c r="AC272" i="1"/>
  <c r="AE272" i="1"/>
  <c r="AF272" i="1"/>
  <c r="AJ272" i="1"/>
  <c r="AR272" i="1" s="1"/>
  <c r="AK272" i="1"/>
  <c r="BD272" i="1" s="1"/>
  <c r="Z272" i="1" s="1"/>
  <c r="AY272" i="1"/>
  <c r="BE272" i="1"/>
  <c r="K273" i="1"/>
  <c r="AG273" i="1" s="1"/>
  <c r="M273" i="1"/>
  <c r="BA273" i="1"/>
  <c r="U273" i="1"/>
  <c r="W273" i="1"/>
  <c r="X273" i="1"/>
  <c r="AA273" i="1"/>
  <c r="AB273" i="1"/>
  <c r="AC273" i="1"/>
  <c r="AE273" i="1"/>
  <c r="AF273" i="1"/>
  <c r="AJ273" i="1"/>
  <c r="BC273" i="1"/>
  <c r="Y273" i="1" s="1"/>
  <c r="AK273" i="1"/>
  <c r="AY273" i="1"/>
  <c r="BE273" i="1"/>
  <c r="K274" i="1"/>
  <c r="AG274" i="1"/>
  <c r="M274" i="1"/>
  <c r="BA274" i="1"/>
  <c r="U274" i="1"/>
  <c r="W274" i="1"/>
  <c r="X274" i="1"/>
  <c r="AA274" i="1"/>
  <c r="AB274" i="1"/>
  <c r="AC274" i="1"/>
  <c r="AE274" i="1"/>
  <c r="AF274" i="1"/>
  <c r="AJ274" i="1"/>
  <c r="BC274" i="1"/>
  <c r="Y274" i="1"/>
  <c r="AK274" i="1"/>
  <c r="AS274" i="1" s="1"/>
  <c r="AY274" i="1"/>
  <c r="BE274" i="1"/>
  <c r="K275" i="1"/>
  <c r="AG275" i="1" s="1"/>
  <c r="M275" i="1"/>
  <c r="BA275" i="1"/>
  <c r="U275" i="1"/>
  <c r="W275" i="1"/>
  <c r="X275" i="1"/>
  <c r="AA275" i="1"/>
  <c r="AB275" i="1"/>
  <c r="AC275" i="1"/>
  <c r="AE275" i="1"/>
  <c r="AF275" i="1"/>
  <c r="AJ275" i="1"/>
  <c r="I275" i="1" s="1"/>
  <c r="AK275" i="1"/>
  <c r="J275" i="1" s="1"/>
  <c r="AY275" i="1"/>
  <c r="BE275" i="1"/>
  <c r="K276" i="1"/>
  <c r="AG276" i="1"/>
  <c r="M276" i="1"/>
  <c r="BA276" i="1" s="1"/>
  <c r="U276" i="1"/>
  <c r="W276" i="1"/>
  <c r="X276" i="1"/>
  <c r="AA276" i="1"/>
  <c r="AB276" i="1"/>
  <c r="AC276" i="1"/>
  <c r="AE276" i="1"/>
  <c r="AF276" i="1"/>
  <c r="AJ276" i="1"/>
  <c r="AK276" i="1"/>
  <c r="BD276" i="1"/>
  <c r="Z276" i="1" s="1"/>
  <c r="AY276" i="1"/>
  <c r="BE276" i="1"/>
  <c r="K277" i="1"/>
  <c r="AG277" i="1" s="1"/>
  <c r="M277" i="1"/>
  <c r="BA277" i="1" s="1"/>
  <c r="U277" i="1"/>
  <c r="W277" i="1"/>
  <c r="X277" i="1"/>
  <c r="AA277" i="1"/>
  <c r="AB277" i="1"/>
  <c r="AC277" i="1"/>
  <c r="AE277" i="1"/>
  <c r="AF277" i="1"/>
  <c r="AJ277" i="1"/>
  <c r="BC277" i="1" s="1"/>
  <c r="Y277" i="1" s="1"/>
  <c r="AK277" i="1"/>
  <c r="AY277" i="1"/>
  <c r="BE277" i="1"/>
  <c r="K278" i="1"/>
  <c r="AG278" i="1" s="1"/>
  <c r="M278" i="1"/>
  <c r="BA278" i="1" s="1"/>
  <c r="U278" i="1"/>
  <c r="W278" i="1"/>
  <c r="X278" i="1"/>
  <c r="AA278" i="1"/>
  <c r="AB278" i="1"/>
  <c r="AC278" i="1"/>
  <c r="AE278" i="1"/>
  <c r="AF278" i="1"/>
  <c r="AJ278" i="1"/>
  <c r="AK278" i="1"/>
  <c r="J278" i="1" s="1"/>
  <c r="AY278" i="1"/>
  <c r="BE278" i="1"/>
  <c r="K279" i="1"/>
  <c r="AG279" i="1"/>
  <c r="M279" i="1"/>
  <c r="BA279" i="1"/>
  <c r="U279" i="1"/>
  <c r="W279" i="1"/>
  <c r="X279" i="1"/>
  <c r="AA279" i="1"/>
  <c r="AB279" i="1"/>
  <c r="AC279" i="1"/>
  <c r="AE279" i="1"/>
  <c r="AF279" i="1"/>
  <c r="AJ279" i="1"/>
  <c r="BC279" i="1" s="1"/>
  <c r="Y279" i="1" s="1"/>
  <c r="AK279" i="1"/>
  <c r="J279" i="1" s="1"/>
  <c r="AY279" i="1"/>
  <c r="BE279" i="1"/>
  <c r="K280" i="1"/>
  <c r="AG280" i="1"/>
  <c r="M280" i="1"/>
  <c r="BA280" i="1" s="1"/>
  <c r="U280" i="1"/>
  <c r="W280" i="1"/>
  <c r="X280" i="1"/>
  <c r="AA280" i="1"/>
  <c r="AB280" i="1"/>
  <c r="AC280" i="1"/>
  <c r="AE280" i="1"/>
  <c r="AF280" i="1"/>
  <c r="AJ280" i="1"/>
  <c r="I280" i="1" s="1"/>
  <c r="AK280" i="1"/>
  <c r="BD280" i="1" s="1"/>
  <c r="Z280" i="1" s="1"/>
  <c r="AY280" i="1"/>
  <c r="BE280" i="1"/>
  <c r="K281" i="1"/>
  <c r="AG281" i="1"/>
  <c r="M281" i="1"/>
  <c r="BA281" i="1"/>
  <c r="U281" i="1"/>
  <c r="W281" i="1"/>
  <c r="X281" i="1"/>
  <c r="AA281" i="1"/>
  <c r="AB281" i="1"/>
  <c r="AC281" i="1"/>
  <c r="AE281" i="1"/>
  <c r="AF281" i="1"/>
  <c r="AJ281" i="1"/>
  <c r="BC281" i="1"/>
  <c r="Y281" i="1"/>
  <c r="AK281" i="1"/>
  <c r="AS281" i="1" s="1"/>
  <c r="AY281" i="1"/>
  <c r="BE281" i="1"/>
  <c r="K282" i="1"/>
  <c r="AG282" i="1" s="1"/>
  <c r="M282" i="1"/>
  <c r="BA282" i="1"/>
  <c r="U282" i="1"/>
  <c r="W282" i="1"/>
  <c r="X282" i="1"/>
  <c r="AA282" i="1"/>
  <c r="AB282" i="1"/>
  <c r="AC282" i="1"/>
  <c r="AE282" i="1"/>
  <c r="AF282" i="1"/>
  <c r="AJ282" i="1"/>
  <c r="AR282" i="1" s="1"/>
  <c r="AK282" i="1"/>
  <c r="BD282" i="1" s="1"/>
  <c r="Z282" i="1" s="1"/>
  <c r="AY282" i="1"/>
  <c r="BE282" i="1"/>
  <c r="K283" i="1"/>
  <c r="AG283" i="1" s="1"/>
  <c r="M283" i="1"/>
  <c r="BA283" i="1"/>
  <c r="U283" i="1"/>
  <c r="W283" i="1"/>
  <c r="X283" i="1"/>
  <c r="AA283" i="1"/>
  <c r="AB283" i="1"/>
  <c r="AC283" i="1"/>
  <c r="AE283" i="1"/>
  <c r="AF283" i="1"/>
  <c r="AJ283" i="1"/>
  <c r="AR283" i="1"/>
  <c r="AK283" i="1"/>
  <c r="AY283" i="1"/>
  <c r="BE283" i="1"/>
  <c r="K284" i="1"/>
  <c r="AG284" i="1" s="1"/>
  <c r="M284" i="1"/>
  <c r="BA284" i="1" s="1"/>
  <c r="U284" i="1"/>
  <c r="W284" i="1"/>
  <c r="X284" i="1"/>
  <c r="AA284" i="1"/>
  <c r="AB284" i="1"/>
  <c r="AC284" i="1"/>
  <c r="AE284" i="1"/>
  <c r="AF284" i="1"/>
  <c r="AJ284" i="1"/>
  <c r="I284" i="1" s="1"/>
  <c r="AK284" i="1"/>
  <c r="BD284" i="1"/>
  <c r="Z284" i="1" s="1"/>
  <c r="AY284" i="1"/>
  <c r="BE284" i="1"/>
  <c r="K285" i="1"/>
  <c r="AG285" i="1"/>
  <c r="M285" i="1"/>
  <c r="BA285" i="1"/>
  <c r="U285" i="1"/>
  <c r="W285" i="1"/>
  <c r="X285" i="1"/>
  <c r="AA285" i="1"/>
  <c r="AB285" i="1"/>
  <c r="AC285" i="1"/>
  <c r="AE285" i="1"/>
  <c r="AF285" i="1"/>
  <c r="AJ285" i="1"/>
  <c r="AR285" i="1" s="1"/>
  <c r="AK285" i="1"/>
  <c r="BD285" i="1"/>
  <c r="Z285" i="1" s="1"/>
  <c r="AY285" i="1"/>
  <c r="BE285" i="1"/>
  <c r="K286" i="1"/>
  <c r="AG286" i="1"/>
  <c r="M286" i="1"/>
  <c r="BA286" i="1" s="1"/>
  <c r="U286" i="1"/>
  <c r="W286" i="1"/>
  <c r="X286" i="1"/>
  <c r="AA286" i="1"/>
  <c r="AB286" i="1"/>
  <c r="AC286" i="1"/>
  <c r="AE286" i="1"/>
  <c r="AF286" i="1"/>
  <c r="AJ286" i="1"/>
  <c r="AK286" i="1"/>
  <c r="AY286" i="1"/>
  <c r="BE286" i="1"/>
  <c r="K287" i="1"/>
  <c r="AG287" i="1"/>
  <c r="M287" i="1"/>
  <c r="BA287" i="1" s="1"/>
  <c r="U287" i="1"/>
  <c r="W287" i="1"/>
  <c r="X287" i="1"/>
  <c r="AA287" i="1"/>
  <c r="AB287" i="1"/>
  <c r="AC287" i="1"/>
  <c r="AE287" i="1"/>
  <c r="AF287" i="1"/>
  <c r="AJ287" i="1"/>
  <c r="I287" i="1" s="1"/>
  <c r="AK287" i="1"/>
  <c r="J287" i="1" s="1"/>
  <c r="AY287" i="1"/>
  <c r="BE287" i="1"/>
  <c r="K288" i="1"/>
  <c r="AG288" i="1" s="1"/>
  <c r="M288" i="1"/>
  <c r="BA288" i="1" s="1"/>
  <c r="U288" i="1"/>
  <c r="W288" i="1"/>
  <c r="X288" i="1"/>
  <c r="AA288" i="1"/>
  <c r="AB288" i="1"/>
  <c r="AC288" i="1"/>
  <c r="AE288" i="1"/>
  <c r="AF288" i="1"/>
  <c r="AJ288" i="1"/>
  <c r="AR288" i="1" s="1"/>
  <c r="AK288" i="1"/>
  <c r="BD288" i="1"/>
  <c r="Z288" i="1" s="1"/>
  <c r="AY288" i="1"/>
  <c r="BE288" i="1"/>
  <c r="K289" i="1"/>
  <c r="AG289" i="1"/>
  <c r="M289" i="1"/>
  <c r="BA289" i="1"/>
  <c r="U289" i="1"/>
  <c r="W289" i="1"/>
  <c r="X289" i="1"/>
  <c r="AA289" i="1"/>
  <c r="AB289" i="1"/>
  <c r="AC289" i="1"/>
  <c r="AE289" i="1"/>
  <c r="AF289" i="1"/>
  <c r="AJ289" i="1"/>
  <c r="I289" i="1" s="1"/>
  <c r="AK289" i="1"/>
  <c r="AS289" i="1"/>
  <c r="AY289" i="1"/>
  <c r="BE289" i="1"/>
  <c r="K290" i="1"/>
  <c r="AG290" i="1"/>
  <c r="M290" i="1"/>
  <c r="BA290" i="1" s="1"/>
  <c r="U290" i="1"/>
  <c r="W290" i="1"/>
  <c r="X290" i="1"/>
  <c r="AA290" i="1"/>
  <c r="AB290" i="1"/>
  <c r="AC290" i="1"/>
  <c r="AE290" i="1"/>
  <c r="AF290" i="1"/>
  <c r="AJ290" i="1"/>
  <c r="I290" i="1"/>
  <c r="AK290" i="1"/>
  <c r="AS290" i="1"/>
  <c r="AY290" i="1"/>
  <c r="BE290" i="1"/>
  <c r="K291" i="1"/>
  <c r="AG291" i="1" s="1"/>
  <c r="M291" i="1"/>
  <c r="BA291" i="1"/>
  <c r="U291" i="1"/>
  <c r="W291" i="1"/>
  <c r="X291" i="1"/>
  <c r="AA291" i="1"/>
  <c r="AB291" i="1"/>
  <c r="AC291" i="1"/>
  <c r="AE291" i="1"/>
  <c r="AF291" i="1"/>
  <c r="AJ291" i="1"/>
  <c r="BC291" i="1"/>
  <c r="Y291" i="1" s="1"/>
  <c r="AK291" i="1"/>
  <c r="AS291" i="1"/>
  <c r="AY291" i="1"/>
  <c r="BE291" i="1"/>
  <c r="K292" i="1"/>
  <c r="AG292" i="1" s="1"/>
  <c r="M292" i="1"/>
  <c r="BA292" i="1" s="1"/>
  <c r="U292" i="1"/>
  <c r="W292" i="1"/>
  <c r="X292" i="1"/>
  <c r="AA292" i="1"/>
  <c r="AB292" i="1"/>
  <c r="AC292" i="1"/>
  <c r="AE292" i="1"/>
  <c r="AF292" i="1"/>
  <c r="AJ292" i="1"/>
  <c r="BC292" i="1"/>
  <c r="Y292" i="1" s="1"/>
  <c r="AK292" i="1"/>
  <c r="J292" i="1"/>
  <c r="AY292" i="1"/>
  <c r="BE292" i="1"/>
  <c r="K293" i="1"/>
  <c r="AG293" i="1"/>
  <c r="M293" i="1"/>
  <c r="BA293" i="1" s="1"/>
  <c r="U293" i="1"/>
  <c r="W293" i="1"/>
  <c r="X293" i="1"/>
  <c r="AA293" i="1"/>
  <c r="AB293" i="1"/>
  <c r="AC293" i="1"/>
  <c r="AE293" i="1"/>
  <c r="AF293" i="1"/>
  <c r="AJ293" i="1"/>
  <c r="I293" i="1"/>
  <c r="AK293" i="1"/>
  <c r="AS293" i="1"/>
  <c r="AY293" i="1"/>
  <c r="BE293" i="1"/>
  <c r="K294" i="1"/>
  <c r="AG294" i="1" s="1"/>
  <c r="M294" i="1"/>
  <c r="BA294" i="1"/>
  <c r="U294" i="1"/>
  <c r="W294" i="1"/>
  <c r="X294" i="1"/>
  <c r="AA294" i="1"/>
  <c r="AB294" i="1"/>
  <c r="AC294" i="1"/>
  <c r="AE294" i="1"/>
  <c r="AF294" i="1"/>
  <c r="AJ294" i="1"/>
  <c r="AK294" i="1"/>
  <c r="J294" i="1" s="1"/>
  <c r="AY294" i="1"/>
  <c r="BE294" i="1"/>
  <c r="K295" i="1"/>
  <c r="AG295" i="1" s="1"/>
  <c r="M295" i="1"/>
  <c r="BA295" i="1" s="1"/>
  <c r="U295" i="1"/>
  <c r="W295" i="1"/>
  <c r="X295" i="1"/>
  <c r="AA295" i="1"/>
  <c r="AB295" i="1"/>
  <c r="AC295" i="1"/>
  <c r="AE295" i="1"/>
  <c r="AF295" i="1"/>
  <c r="AJ295" i="1"/>
  <c r="AK295" i="1"/>
  <c r="AS295" i="1"/>
  <c r="AY295" i="1"/>
  <c r="BE295" i="1"/>
  <c r="K296" i="1"/>
  <c r="AG296" i="1"/>
  <c r="M296" i="1"/>
  <c r="BA296" i="1"/>
  <c r="U296" i="1"/>
  <c r="W296" i="1"/>
  <c r="X296" i="1"/>
  <c r="AA296" i="1"/>
  <c r="AB296" i="1"/>
  <c r="AC296" i="1"/>
  <c r="AE296" i="1"/>
  <c r="AF296" i="1"/>
  <c r="AJ296" i="1"/>
  <c r="AR296" i="1"/>
  <c r="AK296" i="1"/>
  <c r="AS296" i="1" s="1"/>
  <c r="AX296" i="1" s="1"/>
  <c r="AY296" i="1"/>
  <c r="BE296" i="1"/>
  <c r="K297" i="1"/>
  <c r="AG297" i="1" s="1"/>
  <c r="M297" i="1"/>
  <c r="U297" i="1"/>
  <c r="W297" i="1"/>
  <c r="X297" i="1"/>
  <c r="AA297" i="1"/>
  <c r="AB297" i="1"/>
  <c r="AC297" i="1"/>
  <c r="AE297" i="1"/>
  <c r="AF297" i="1"/>
  <c r="AJ297" i="1"/>
  <c r="AK297" i="1"/>
  <c r="AY297" i="1"/>
  <c r="BA297" i="1"/>
  <c r="BE297" i="1"/>
  <c r="K298" i="1"/>
  <c r="AG298" i="1" s="1"/>
  <c r="M298" i="1"/>
  <c r="BA298" i="1"/>
  <c r="U298" i="1"/>
  <c r="W298" i="1"/>
  <c r="X298" i="1"/>
  <c r="AA298" i="1"/>
  <c r="AB298" i="1"/>
  <c r="AC298" i="1"/>
  <c r="AE298" i="1"/>
  <c r="AF298" i="1"/>
  <c r="AJ298" i="1"/>
  <c r="AR298" i="1" s="1"/>
  <c r="AK298" i="1"/>
  <c r="J298" i="1" s="1"/>
  <c r="AY298" i="1"/>
  <c r="BE298" i="1"/>
  <c r="K299" i="1"/>
  <c r="AG299" i="1"/>
  <c r="M299" i="1"/>
  <c r="BA299" i="1" s="1"/>
  <c r="U299" i="1"/>
  <c r="W299" i="1"/>
  <c r="X299" i="1"/>
  <c r="AA299" i="1"/>
  <c r="AB299" i="1"/>
  <c r="AC299" i="1"/>
  <c r="AE299" i="1"/>
  <c r="AF299" i="1"/>
  <c r="AJ299" i="1"/>
  <c r="I299" i="1" s="1"/>
  <c r="AK299" i="1"/>
  <c r="AY299" i="1"/>
  <c r="BE299" i="1"/>
  <c r="K300" i="1"/>
  <c r="AG300" i="1" s="1"/>
  <c r="M300" i="1"/>
  <c r="BA300" i="1"/>
  <c r="U300" i="1"/>
  <c r="W300" i="1"/>
  <c r="X300" i="1"/>
  <c r="AA300" i="1"/>
  <c r="AB300" i="1"/>
  <c r="AC300" i="1"/>
  <c r="AE300" i="1"/>
  <c r="AF300" i="1"/>
  <c r="AJ300" i="1"/>
  <c r="AK300" i="1"/>
  <c r="J300" i="1" s="1"/>
  <c r="AY300" i="1"/>
  <c r="BE300" i="1"/>
  <c r="K301" i="1"/>
  <c r="AG301" i="1" s="1"/>
  <c r="M301" i="1"/>
  <c r="BA301" i="1" s="1"/>
  <c r="U301" i="1"/>
  <c r="W301" i="1"/>
  <c r="X301" i="1"/>
  <c r="AA301" i="1"/>
  <c r="AB301" i="1"/>
  <c r="AC301" i="1"/>
  <c r="AE301" i="1"/>
  <c r="AF301" i="1"/>
  <c r="AJ301" i="1"/>
  <c r="AR301" i="1" s="1"/>
  <c r="AK301" i="1"/>
  <c r="AS301" i="1"/>
  <c r="AY301" i="1"/>
  <c r="BE301" i="1"/>
  <c r="K302" i="1"/>
  <c r="AG302" i="1" s="1"/>
  <c r="M302" i="1"/>
  <c r="BA302" i="1" s="1"/>
  <c r="U302" i="1"/>
  <c r="W302" i="1"/>
  <c r="X302" i="1"/>
  <c r="AA302" i="1"/>
  <c r="AB302" i="1"/>
  <c r="AC302" i="1"/>
  <c r="AE302" i="1"/>
  <c r="AF302" i="1"/>
  <c r="AJ302" i="1"/>
  <c r="AK302" i="1"/>
  <c r="AS302" i="1" s="1"/>
  <c r="AY302" i="1"/>
  <c r="BE302" i="1"/>
  <c r="K303" i="1"/>
  <c r="AG303" i="1"/>
  <c r="M303" i="1"/>
  <c r="BA303" i="1"/>
  <c r="U303" i="1"/>
  <c r="W303" i="1"/>
  <c r="X303" i="1"/>
  <c r="AA303" i="1"/>
  <c r="AB303" i="1"/>
  <c r="AC303" i="1"/>
  <c r="AE303" i="1"/>
  <c r="AF303" i="1"/>
  <c r="AJ303" i="1"/>
  <c r="I303" i="1" s="1"/>
  <c r="AK303" i="1"/>
  <c r="BD303" i="1"/>
  <c r="Z303" i="1" s="1"/>
  <c r="AY303" i="1"/>
  <c r="BE303" i="1"/>
  <c r="K304" i="1"/>
  <c r="AG304" i="1"/>
  <c r="M304" i="1"/>
  <c r="BA304" i="1" s="1"/>
  <c r="U304" i="1"/>
  <c r="W304" i="1"/>
  <c r="X304" i="1"/>
  <c r="AA304" i="1"/>
  <c r="AB304" i="1"/>
  <c r="AC304" i="1"/>
  <c r="AE304" i="1"/>
  <c r="AF304" i="1"/>
  <c r="AJ304" i="1"/>
  <c r="I304" i="1" s="1"/>
  <c r="AK304" i="1"/>
  <c r="AY304" i="1"/>
  <c r="BE304" i="1"/>
  <c r="K305" i="1"/>
  <c r="AG305" i="1" s="1"/>
  <c r="M305" i="1"/>
  <c r="BA305" i="1"/>
  <c r="U305" i="1"/>
  <c r="W305" i="1"/>
  <c r="X305" i="1"/>
  <c r="AA305" i="1"/>
  <c r="AB305" i="1"/>
  <c r="AC305" i="1"/>
  <c r="AE305" i="1"/>
  <c r="AF305" i="1"/>
  <c r="AJ305" i="1"/>
  <c r="I305" i="1"/>
  <c r="AK305" i="1"/>
  <c r="AS305" i="1"/>
  <c r="AY305" i="1"/>
  <c r="BE305" i="1"/>
  <c r="K306" i="1"/>
  <c r="AG306" i="1"/>
  <c r="M306" i="1"/>
  <c r="BA306" i="1"/>
  <c r="U306" i="1"/>
  <c r="W306" i="1"/>
  <c r="X306" i="1"/>
  <c r="AA306" i="1"/>
  <c r="AB306" i="1"/>
  <c r="AC306" i="1"/>
  <c r="AE306" i="1"/>
  <c r="AF306" i="1"/>
  <c r="AJ306" i="1"/>
  <c r="AR306" i="1"/>
  <c r="AK306" i="1"/>
  <c r="BD306" i="1" s="1"/>
  <c r="Z306" i="1" s="1"/>
  <c r="AY306" i="1"/>
  <c r="BE306" i="1"/>
  <c r="K307" i="1"/>
  <c r="AG307" i="1" s="1"/>
  <c r="M307" i="1"/>
  <c r="BA307" i="1"/>
  <c r="U307" i="1"/>
  <c r="W307" i="1"/>
  <c r="X307" i="1"/>
  <c r="AA307" i="1"/>
  <c r="AB307" i="1"/>
  <c r="AC307" i="1"/>
  <c r="AE307" i="1"/>
  <c r="AF307" i="1"/>
  <c r="AJ307" i="1"/>
  <c r="AR307" i="1" s="1"/>
  <c r="AK307" i="1"/>
  <c r="J307" i="1" s="1"/>
  <c r="AY307" i="1"/>
  <c r="BE307" i="1"/>
  <c r="K308" i="1"/>
  <c r="AG308" i="1"/>
  <c r="M308" i="1"/>
  <c r="BA308" i="1" s="1"/>
  <c r="U308" i="1"/>
  <c r="W308" i="1"/>
  <c r="X308" i="1"/>
  <c r="AA308" i="1"/>
  <c r="AB308" i="1"/>
  <c r="AC308" i="1"/>
  <c r="AE308" i="1"/>
  <c r="AF308" i="1"/>
  <c r="AJ308" i="1"/>
  <c r="AR308" i="1" s="1"/>
  <c r="AK308" i="1"/>
  <c r="BD308" i="1" s="1"/>
  <c r="Z308" i="1" s="1"/>
  <c r="AY308" i="1"/>
  <c r="BE308" i="1"/>
  <c r="K309" i="1"/>
  <c r="AG309" i="1"/>
  <c r="M309" i="1"/>
  <c r="BA309" i="1"/>
  <c r="U309" i="1"/>
  <c r="W309" i="1"/>
  <c r="X309" i="1"/>
  <c r="AA309" i="1"/>
  <c r="AB309" i="1"/>
  <c r="AC309" i="1"/>
  <c r="AE309" i="1"/>
  <c r="AF309" i="1"/>
  <c r="AJ309" i="1"/>
  <c r="I309" i="1"/>
  <c r="AK309" i="1"/>
  <c r="AY309" i="1"/>
  <c r="BE309" i="1"/>
  <c r="K310" i="1"/>
  <c r="AG310" i="1" s="1"/>
  <c r="M310" i="1"/>
  <c r="BA310" i="1" s="1"/>
  <c r="U310" i="1"/>
  <c r="W310" i="1"/>
  <c r="X310" i="1"/>
  <c r="AA310" i="1"/>
  <c r="AB310" i="1"/>
  <c r="AC310" i="1"/>
  <c r="AE310" i="1"/>
  <c r="AF310" i="1"/>
  <c r="AJ310" i="1"/>
  <c r="I310" i="1"/>
  <c r="AK310" i="1"/>
  <c r="J310" i="1" s="1"/>
  <c r="AY310" i="1"/>
  <c r="BE310" i="1"/>
  <c r="K311" i="1"/>
  <c r="AG311" i="1" s="1"/>
  <c r="M311" i="1"/>
  <c r="BA311" i="1"/>
  <c r="U311" i="1"/>
  <c r="W311" i="1"/>
  <c r="X311" i="1"/>
  <c r="AA311" i="1"/>
  <c r="AB311" i="1"/>
  <c r="AC311" i="1"/>
  <c r="AE311" i="1"/>
  <c r="AF311" i="1"/>
  <c r="AJ311" i="1"/>
  <c r="I311" i="1" s="1"/>
  <c r="AK311" i="1"/>
  <c r="J311" i="1" s="1"/>
  <c r="AY311" i="1"/>
  <c r="BE311" i="1"/>
  <c r="K312" i="1"/>
  <c r="AG312" i="1"/>
  <c r="M312" i="1"/>
  <c r="BA312" i="1" s="1"/>
  <c r="U312" i="1"/>
  <c r="W312" i="1"/>
  <c r="X312" i="1"/>
  <c r="AA312" i="1"/>
  <c r="AB312" i="1"/>
  <c r="AC312" i="1"/>
  <c r="AE312" i="1"/>
  <c r="AF312" i="1"/>
  <c r="AJ312" i="1"/>
  <c r="I312" i="1" s="1"/>
  <c r="AK312" i="1"/>
  <c r="BD312" i="1" s="1"/>
  <c r="Z312" i="1" s="1"/>
  <c r="AY312" i="1"/>
  <c r="BE312" i="1"/>
  <c r="K313" i="1"/>
  <c r="AG313" i="1"/>
  <c r="M313" i="1"/>
  <c r="BA313" i="1"/>
  <c r="U313" i="1"/>
  <c r="W313" i="1"/>
  <c r="X313" i="1"/>
  <c r="AA313" i="1"/>
  <c r="AB313" i="1"/>
  <c r="AC313" i="1"/>
  <c r="AE313" i="1"/>
  <c r="AF313" i="1"/>
  <c r="AJ313" i="1"/>
  <c r="AR313" i="1"/>
  <c r="AK313" i="1"/>
  <c r="J313" i="1" s="1"/>
  <c r="AY313" i="1"/>
  <c r="BE313" i="1"/>
  <c r="K314" i="1"/>
  <c r="AG314" i="1"/>
  <c r="M314" i="1"/>
  <c r="BA314" i="1"/>
  <c r="U314" i="1"/>
  <c r="W314" i="1"/>
  <c r="X314" i="1"/>
  <c r="AA314" i="1"/>
  <c r="AB314" i="1"/>
  <c r="AC314" i="1"/>
  <c r="AE314" i="1"/>
  <c r="AF314" i="1"/>
  <c r="AJ314" i="1"/>
  <c r="AR314" i="1" s="1"/>
  <c r="AK314" i="1"/>
  <c r="AS314" i="1" s="1"/>
  <c r="AY314" i="1"/>
  <c r="BE314" i="1"/>
  <c r="K315" i="1"/>
  <c r="AG315" i="1"/>
  <c r="M315" i="1"/>
  <c r="BA315" i="1" s="1"/>
  <c r="U315" i="1"/>
  <c r="W315" i="1"/>
  <c r="X315" i="1"/>
  <c r="AA315" i="1"/>
  <c r="AB315" i="1"/>
  <c r="AC315" i="1"/>
  <c r="AE315" i="1"/>
  <c r="AF315" i="1"/>
  <c r="AJ315" i="1"/>
  <c r="BC315" i="1" s="1"/>
  <c r="Y315" i="1"/>
  <c r="AK315" i="1"/>
  <c r="BD315" i="1"/>
  <c r="Z315" i="1"/>
  <c r="AY315" i="1"/>
  <c r="BE315" i="1"/>
  <c r="K316" i="1"/>
  <c r="AG316" i="1" s="1"/>
  <c r="M316" i="1"/>
  <c r="BA316" i="1" s="1"/>
  <c r="U316" i="1"/>
  <c r="W316" i="1"/>
  <c r="X316" i="1"/>
  <c r="AA316" i="1"/>
  <c r="AB316" i="1"/>
  <c r="AC316" i="1"/>
  <c r="AE316" i="1"/>
  <c r="AF316" i="1"/>
  <c r="AJ316" i="1"/>
  <c r="AR316" i="1"/>
  <c r="AK316" i="1"/>
  <c r="AS316" i="1" s="1"/>
  <c r="AY316" i="1"/>
  <c r="BE316" i="1"/>
  <c r="K317" i="1"/>
  <c r="AG317" i="1" s="1"/>
  <c r="M317" i="1"/>
  <c r="BA317" i="1"/>
  <c r="U317" i="1"/>
  <c r="W317" i="1"/>
  <c r="X317" i="1"/>
  <c r="AA317" i="1"/>
  <c r="AB317" i="1"/>
  <c r="AC317" i="1"/>
  <c r="AE317" i="1"/>
  <c r="AF317" i="1"/>
  <c r="AJ317" i="1"/>
  <c r="I317" i="1" s="1"/>
  <c r="AK317" i="1"/>
  <c r="BD317" i="1" s="1"/>
  <c r="Z317" i="1" s="1"/>
  <c r="AY317" i="1"/>
  <c r="BE317" i="1"/>
  <c r="K318" i="1"/>
  <c r="AG318" i="1"/>
  <c r="M318" i="1"/>
  <c r="BA318" i="1"/>
  <c r="U318" i="1"/>
  <c r="W318" i="1"/>
  <c r="X318" i="1"/>
  <c r="AA318" i="1"/>
  <c r="AB318" i="1"/>
  <c r="AC318" i="1"/>
  <c r="AE318" i="1"/>
  <c r="AF318" i="1"/>
  <c r="AJ318" i="1"/>
  <c r="I318" i="1" s="1"/>
  <c r="AK318" i="1"/>
  <c r="J318" i="1"/>
  <c r="AY318" i="1"/>
  <c r="BE318" i="1"/>
  <c r="K319" i="1"/>
  <c r="AG319" i="1"/>
  <c r="M319" i="1"/>
  <c r="BA319" i="1" s="1"/>
  <c r="U319" i="1"/>
  <c r="W319" i="1"/>
  <c r="X319" i="1"/>
  <c r="AA319" i="1"/>
  <c r="AB319" i="1"/>
  <c r="AC319" i="1"/>
  <c r="AE319" i="1"/>
  <c r="AF319" i="1"/>
  <c r="AJ319" i="1"/>
  <c r="AK319" i="1"/>
  <c r="AS319" i="1" s="1"/>
  <c r="AY319" i="1"/>
  <c r="BE319" i="1"/>
  <c r="K320" i="1"/>
  <c r="AG320" i="1"/>
  <c r="M320" i="1"/>
  <c r="BA320" i="1" s="1"/>
  <c r="U320" i="1"/>
  <c r="W320" i="1"/>
  <c r="X320" i="1"/>
  <c r="AA320" i="1"/>
  <c r="AB320" i="1"/>
  <c r="AC320" i="1"/>
  <c r="AE320" i="1"/>
  <c r="AF320" i="1"/>
  <c r="AJ320" i="1"/>
  <c r="AR320" i="1"/>
  <c r="AK320" i="1"/>
  <c r="J320" i="1" s="1"/>
  <c r="AY320" i="1"/>
  <c r="BE320" i="1"/>
  <c r="K321" i="1"/>
  <c r="AG321" i="1" s="1"/>
  <c r="M321" i="1"/>
  <c r="BA321" i="1" s="1"/>
  <c r="U321" i="1"/>
  <c r="W321" i="1"/>
  <c r="X321" i="1"/>
  <c r="AA321" i="1"/>
  <c r="AB321" i="1"/>
  <c r="AC321" i="1"/>
  <c r="AE321" i="1"/>
  <c r="AF321" i="1"/>
  <c r="AJ321" i="1"/>
  <c r="I321" i="1" s="1"/>
  <c r="AK321" i="1"/>
  <c r="BD321" i="1" s="1"/>
  <c r="Z321" i="1" s="1"/>
  <c r="AY321" i="1"/>
  <c r="BE321" i="1"/>
  <c r="K322" i="1"/>
  <c r="AG322" i="1" s="1"/>
  <c r="M322" i="1"/>
  <c r="BA322" i="1"/>
  <c r="U322" i="1"/>
  <c r="W322" i="1"/>
  <c r="X322" i="1"/>
  <c r="AA322" i="1"/>
  <c r="AB322" i="1"/>
  <c r="AC322" i="1"/>
  <c r="AE322" i="1"/>
  <c r="AF322" i="1"/>
  <c r="AJ322" i="1"/>
  <c r="AR322" i="1"/>
  <c r="AK322" i="1"/>
  <c r="BD322" i="1"/>
  <c r="Z322" i="1"/>
  <c r="AY322" i="1"/>
  <c r="BE322" i="1"/>
  <c r="K323" i="1"/>
  <c r="AG323" i="1"/>
  <c r="M323" i="1"/>
  <c r="BA323" i="1" s="1"/>
  <c r="U323" i="1"/>
  <c r="W323" i="1"/>
  <c r="X323" i="1"/>
  <c r="AA323" i="1"/>
  <c r="AB323" i="1"/>
  <c r="AC323" i="1"/>
  <c r="AE323" i="1"/>
  <c r="AF323" i="1"/>
  <c r="AJ323" i="1"/>
  <c r="I323" i="1"/>
  <c r="AK323" i="1"/>
  <c r="J323" i="1" s="1"/>
  <c r="AY323" i="1"/>
  <c r="BE323" i="1"/>
  <c r="K324" i="1"/>
  <c r="AG324" i="1" s="1"/>
  <c r="M324" i="1"/>
  <c r="BA324" i="1"/>
  <c r="U324" i="1"/>
  <c r="W324" i="1"/>
  <c r="X324" i="1"/>
  <c r="AA324" i="1"/>
  <c r="AB324" i="1"/>
  <c r="AC324" i="1"/>
  <c r="AE324" i="1"/>
  <c r="AF324" i="1"/>
  <c r="AJ324" i="1"/>
  <c r="AR324" i="1" s="1"/>
  <c r="AK324" i="1"/>
  <c r="J324" i="1"/>
  <c r="AY324" i="1"/>
  <c r="BE324" i="1"/>
  <c r="K325" i="1"/>
  <c r="AG325" i="1"/>
  <c r="M325" i="1"/>
  <c r="BA325" i="1" s="1"/>
  <c r="U325" i="1"/>
  <c r="W325" i="1"/>
  <c r="X325" i="1"/>
  <c r="AA325" i="1"/>
  <c r="AB325" i="1"/>
  <c r="AC325" i="1"/>
  <c r="AE325" i="1"/>
  <c r="AF325" i="1"/>
  <c r="AJ325" i="1"/>
  <c r="AK325" i="1"/>
  <c r="AY325" i="1"/>
  <c r="BE325" i="1"/>
  <c r="K326" i="1"/>
  <c r="AG326" i="1"/>
  <c r="M326" i="1"/>
  <c r="BA326" i="1" s="1"/>
  <c r="U326" i="1"/>
  <c r="W326" i="1"/>
  <c r="X326" i="1"/>
  <c r="AA326" i="1"/>
  <c r="AB326" i="1"/>
  <c r="AC326" i="1"/>
  <c r="AE326" i="1"/>
  <c r="AF326" i="1"/>
  <c r="AJ326" i="1"/>
  <c r="AK326" i="1"/>
  <c r="BD326" i="1"/>
  <c r="Z326" i="1" s="1"/>
  <c r="AY326" i="1"/>
  <c r="BE326" i="1"/>
  <c r="K327" i="1"/>
  <c r="AG327" i="1" s="1"/>
  <c r="M327" i="1"/>
  <c r="BA327" i="1" s="1"/>
  <c r="U327" i="1"/>
  <c r="W327" i="1"/>
  <c r="X327" i="1"/>
  <c r="AA327" i="1"/>
  <c r="AB327" i="1"/>
  <c r="AC327" i="1"/>
  <c r="AE327" i="1"/>
  <c r="AF327" i="1"/>
  <c r="AJ327" i="1"/>
  <c r="AK327" i="1"/>
  <c r="BD327" i="1"/>
  <c r="Z327" i="1"/>
  <c r="AY327" i="1"/>
  <c r="BE327" i="1"/>
  <c r="K328" i="1"/>
  <c r="AG328" i="1"/>
  <c r="M328" i="1"/>
  <c r="BA328" i="1" s="1"/>
  <c r="U328" i="1"/>
  <c r="W328" i="1"/>
  <c r="X328" i="1"/>
  <c r="AA328" i="1"/>
  <c r="AB328" i="1"/>
  <c r="AC328" i="1"/>
  <c r="AE328" i="1"/>
  <c r="AF328" i="1"/>
  <c r="AJ328" i="1"/>
  <c r="AK328" i="1"/>
  <c r="J328" i="1"/>
  <c r="AY328" i="1"/>
  <c r="BE328" i="1"/>
  <c r="K329" i="1"/>
  <c r="AG329" i="1"/>
  <c r="M329" i="1"/>
  <c r="BA329" i="1"/>
  <c r="U329" i="1"/>
  <c r="W329" i="1"/>
  <c r="X329" i="1"/>
  <c r="AA329" i="1"/>
  <c r="AB329" i="1"/>
  <c r="AC329" i="1"/>
  <c r="AE329" i="1"/>
  <c r="AF329" i="1"/>
  <c r="AJ329" i="1"/>
  <c r="AK329" i="1"/>
  <c r="BD329" i="1" s="1"/>
  <c r="Z329" i="1" s="1"/>
  <c r="AY329" i="1"/>
  <c r="BE329" i="1"/>
  <c r="K330" i="1"/>
  <c r="AG330" i="1"/>
  <c r="M330" i="1"/>
  <c r="BA330" i="1"/>
  <c r="U330" i="1"/>
  <c r="W330" i="1"/>
  <c r="X330" i="1"/>
  <c r="AA330" i="1"/>
  <c r="AB330" i="1"/>
  <c r="AC330" i="1"/>
  <c r="AE330" i="1"/>
  <c r="AF330" i="1"/>
  <c r="AJ330" i="1"/>
  <c r="I330" i="1"/>
  <c r="AK330" i="1"/>
  <c r="AY330" i="1"/>
  <c r="BE330" i="1"/>
  <c r="K331" i="1"/>
  <c r="AG331" i="1" s="1"/>
  <c r="M331" i="1"/>
  <c r="BA331" i="1" s="1"/>
  <c r="U331" i="1"/>
  <c r="W331" i="1"/>
  <c r="X331" i="1"/>
  <c r="AA331" i="1"/>
  <c r="AB331" i="1"/>
  <c r="AC331" i="1"/>
  <c r="AE331" i="1"/>
  <c r="AF331" i="1"/>
  <c r="AJ331" i="1"/>
  <c r="BC331" i="1" s="1"/>
  <c r="Y331" i="1" s="1"/>
  <c r="AK331" i="1"/>
  <c r="AS331" i="1"/>
  <c r="AY331" i="1"/>
  <c r="BE331" i="1"/>
  <c r="K332" i="1"/>
  <c r="AG332" i="1"/>
  <c r="M332" i="1"/>
  <c r="BA332" i="1" s="1"/>
  <c r="U332" i="1"/>
  <c r="W332" i="1"/>
  <c r="X332" i="1"/>
  <c r="AA332" i="1"/>
  <c r="AB332" i="1"/>
  <c r="AC332" i="1"/>
  <c r="AE332" i="1"/>
  <c r="AF332" i="1"/>
  <c r="AJ332" i="1"/>
  <c r="AR332" i="1"/>
  <c r="AK332" i="1"/>
  <c r="AS332" i="1" s="1"/>
  <c r="AY332" i="1"/>
  <c r="BE332" i="1"/>
  <c r="K333" i="1"/>
  <c r="AG333" i="1" s="1"/>
  <c r="M333" i="1"/>
  <c r="BA333" i="1"/>
  <c r="U333" i="1"/>
  <c r="W333" i="1"/>
  <c r="X333" i="1"/>
  <c r="AA333" i="1"/>
  <c r="AB333" i="1"/>
  <c r="AC333" i="1"/>
  <c r="AE333" i="1"/>
  <c r="AF333" i="1"/>
  <c r="AJ333" i="1"/>
  <c r="AR333" i="1" s="1"/>
  <c r="AK333" i="1"/>
  <c r="AY333" i="1"/>
  <c r="BE333" i="1"/>
  <c r="K334" i="1"/>
  <c r="AG334" i="1"/>
  <c r="M334" i="1"/>
  <c r="BA334" i="1"/>
  <c r="U334" i="1"/>
  <c r="W334" i="1"/>
  <c r="X334" i="1"/>
  <c r="AA334" i="1"/>
  <c r="AB334" i="1"/>
  <c r="AC334" i="1"/>
  <c r="AE334" i="1"/>
  <c r="AF334" i="1"/>
  <c r="AJ334" i="1"/>
  <c r="I334" i="1"/>
  <c r="AK334" i="1"/>
  <c r="AY334" i="1"/>
  <c r="BE334" i="1"/>
  <c r="K335" i="1"/>
  <c r="AG335" i="1"/>
  <c r="M335" i="1"/>
  <c r="BA335" i="1" s="1"/>
  <c r="U335" i="1"/>
  <c r="W335" i="1"/>
  <c r="X335" i="1"/>
  <c r="AA335" i="1"/>
  <c r="AB335" i="1"/>
  <c r="AC335" i="1"/>
  <c r="AE335" i="1"/>
  <c r="AF335" i="1"/>
  <c r="AJ335" i="1"/>
  <c r="I335" i="1"/>
  <c r="AK335" i="1"/>
  <c r="BD335" i="1" s="1"/>
  <c r="Z335" i="1" s="1"/>
  <c r="AY335" i="1"/>
  <c r="BE335" i="1"/>
  <c r="K336" i="1"/>
  <c r="AG336" i="1"/>
  <c r="M336" i="1"/>
  <c r="BA336" i="1" s="1"/>
  <c r="U336" i="1"/>
  <c r="W336" i="1"/>
  <c r="X336" i="1"/>
  <c r="AA336" i="1"/>
  <c r="AB336" i="1"/>
  <c r="AC336" i="1"/>
  <c r="AE336" i="1"/>
  <c r="AF336" i="1"/>
  <c r="AJ336" i="1"/>
  <c r="BC336" i="1"/>
  <c r="Y336" i="1"/>
  <c r="AK336" i="1"/>
  <c r="J336" i="1" s="1"/>
  <c r="AY336" i="1"/>
  <c r="BE336" i="1"/>
  <c r="K337" i="1"/>
  <c r="AG337" i="1" s="1"/>
  <c r="M337" i="1"/>
  <c r="BA337" i="1"/>
  <c r="U337" i="1"/>
  <c r="W337" i="1"/>
  <c r="X337" i="1"/>
  <c r="AA337" i="1"/>
  <c r="AB337" i="1"/>
  <c r="AC337" i="1"/>
  <c r="AE337" i="1"/>
  <c r="AF337" i="1"/>
  <c r="AJ337" i="1"/>
  <c r="I337" i="1" s="1"/>
  <c r="AK337" i="1"/>
  <c r="AS337" i="1"/>
  <c r="AY337" i="1"/>
  <c r="BE337" i="1"/>
  <c r="K338" i="1"/>
  <c r="AG338" i="1"/>
  <c r="M338" i="1"/>
  <c r="BA338" i="1" s="1"/>
  <c r="U338" i="1"/>
  <c r="W338" i="1"/>
  <c r="X338" i="1"/>
  <c r="AA338" i="1"/>
  <c r="AB338" i="1"/>
  <c r="AC338" i="1"/>
  <c r="AE338" i="1"/>
  <c r="AF338" i="1"/>
  <c r="AJ338" i="1"/>
  <c r="BC338" i="1"/>
  <c r="Y338" i="1" s="1"/>
  <c r="AK338" i="1"/>
  <c r="AY338" i="1"/>
  <c r="BE338" i="1"/>
  <c r="K339" i="1"/>
  <c r="AG339" i="1" s="1"/>
  <c r="M339" i="1"/>
  <c r="BA339" i="1"/>
  <c r="U339" i="1"/>
  <c r="W339" i="1"/>
  <c r="X339" i="1"/>
  <c r="AA339" i="1"/>
  <c r="AB339" i="1"/>
  <c r="AC339" i="1"/>
  <c r="AE339" i="1"/>
  <c r="AF339" i="1"/>
  <c r="AJ339" i="1"/>
  <c r="I339" i="1" s="1"/>
  <c r="AK339" i="1"/>
  <c r="AS339" i="1"/>
  <c r="AY339" i="1"/>
  <c r="BE339" i="1"/>
  <c r="K340" i="1"/>
  <c r="AG340" i="1"/>
  <c r="M340" i="1"/>
  <c r="BA340" i="1" s="1"/>
  <c r="U340" i="1"/>
  <c r="W340" i="1"/>
  <c r="X340" i="1"/>
  <c r="AA340" i="1"/>
  <c r="AB340" i="1"/>
  <c r="AC340" i="1"/>
  <c r="AE340" i="1"/>
  <c r="AF340" i="1"/>
  <c r="AJ340" i="1"/>
  <c r="I340" i="1"/>
  <c r="AK340" i="1"/>
  <c r="AY340" i="1"/>
  <c r="BE340" i="1"/>
  <c r="K341" i="1"/>
  <c r="AG341" i="1" s="1"/>
  <c r="M341" i="1"/>
  <c r="BA341" i="1"/>
  <c r="U341" i="1"/>
  <c r="W341" i="1"/>
  <c r="X341" i="1"/>
  <c r="AA341" i="1"/>
  <c r="AB341" i="1"/>
  <c r="AC341" i="1"/>
  <c r="AE341" i="1"/>
  <c r="AF341" i="1"/>
  <c r="AJ341" i="1"/>
  <c r="AR341" i="1"/>
  <c r="AK341" i="1"/>
  <c r="AS341" i="1"/>
  <c r="AY341" i="1"/>
  <c r="BE341" i="1"/>
  <c r="K342" i="1"/>
  <c r="AG342" i="1"/>
  <c r="M342" i="1"/>
  <c r="BA342" i="1"/>
  <c r="U342" i="1"/>
  <c r="W342" i="1"/>
  <c r="X342" i="1"/>
  <c r="AA342" i="1"/>
  <c r="AB342" i="1"/>
  <c r="AC342" i="1"/>
  <c r="AE342" i="1"/>
  <c r="AF342" i="1"/>
  <c r="AJ342" i="1"/>
  <c r="AR342" i="1"/>
  <c r="AK342" i="1"/>
  <c r="AY342" i="1"/>
  <c r="BE342" i="1"/>
  <c r="K343" i="1"/>
  <c r="AG343" i="1"/>
  <c r="M343" i="1"/>
  <c r="BA343" i="1" s="1"/>
  <c r="U343" i="1"/>
  <c r="W343" i="1"/>
  <c r="X343" i="1"/>
  <c r="AA343" i="1"/>
  <c r="AB343" i="1"/>
  <c r="AC343" i="1"/>
  <c r="AE343" i="1"/>
  <c r="AF343" i="1"/>
  <c r="AJ343" i="1"/>
  <c r="AR343" i="1"/>
  <c r="AX343" i="1" s="1"/>
  <c r="AK343" i="1"/>
  <c r="AS343" i="1"/>
  <c r="AY343" i="1"/>
  <c r="BE343" i="1"/>
  <c r="K344" i="1"/>
  <c r="AG344" i="1"/>
  <c r="M344" i="1"/>
  <c r="BA344" i="1" s="1"/>
  <c r="U344" i="1"/>
  <c r="W344" i="1"/>
  <c r="X344" i="1"/>
  <c r="AA344" i="1"/>
  <c r="AB344" i="1"/>
  <c r="AC344" i="1"/>
  <c r="AE344" i="1"/>
  <c r="AF344" i="1"/>
  <c r="AJ344" i="1"/>
  <c r="AR344" i="1" s="1"/>
  <c r="AK344" i="1"/>
  <c r="BD344" i="1"/>
  <c r="Z344" i="1" s="1"/>
  <c r="AY344" i="1"/>
  <c r="BE344" i="1"/>
  <c r="K345" i="1"/>
  <c r="AG345" i="1" s="1"/>
  <c r="M345" i="1"/>
  <c r="BA345" i="1"/>
  <c r="U345" i="1"/>
  <c r="W345" i="1"/>
  <c r="X345" i="1"/>
  <c r="AA345" i="1"/>
  <c r="AB345" i="1"/>
  <c r="AC345" i="1"/>
  <c r="AE345" i="1"/>
  <c r="AF345" i="1"/>
  <c r="AJ345" i="1"/>
  <c r="I345" i="1" s="1"/>
  <c r="AK345" i="1"/>
  <c r="AS345" i="1"/>
  <c r="AY345" i="1"/>
  <c r="BE345" i="1"/>
  <c r="K346" i="1"/>
  <c r="AG346" i="1"/>
  <c r="M346" i="1"/>
  <c r="BA346" i="1" s="1"/>
  <c r="U346" i="1"/>
  <c r="W346" i="1"/>
  <c r="X346" i="1"/>
  <c r="AA346" i="1"/>
  <c r="AB346" i="1"/>
  <c r="AC346" i="1"/>
  <c r="AE346" i="1"/>
  <c r="AF346" i="1"/>
  <c r="AJ346" i="1"/>
  <c r="I346" i="1"/>
  <c r="AK346" i="1"/>
  <c r="AY346" i="1"/>
  <c r="BE346" i="1"/>
  <c r="K347" i="1"/>
  <c r="AG347" i="1"/>
  <c r="M347" i="1"/>
  <c r="BA347" i="1"/>
  <c r="U347" i="1"/>
  <c r="W347" i="1"/>
  <c r="X347" i="1"/>
  <c r="AA347" i="1"/>
  <c r="AB347" i="1"/>
  <c r="AC347" i="1"/>
  <c r="AE347" i="1"/>
  <c r="AF347" i="1"/>
  <c r="AJ347" i="1"/>
  <c r="AR347" i="1" s="1"/>
  <c r="AK347" i="1"/>
  <c r="AY347" i="1"/>
  <c r="BE347" i="1"/>
  <c r="K348" i="1"/>
  <c r="AG348" i="1" s="1"/>
  <c r="M348" i="1"/>
  <c r="BA348" i="1"/>
  <c r="U348" i="1"/>
  <c r="W348" i="1"/>
  <c r="X348" i="1"/>
  <c r="AA348" i="1"/>
  <c r="AB348" i="1"/>
  <c r="AC348" i="1"/>
  <c r="AE348" i="1"/>
  <c r="AF348" i="1"/>
  <c r="AJ348" i="1"/>
  <c r="BC348" i="1" s="1"/>
  <c r="Y348" i="1" s="1"/>
  <c r="AK348" i="1"/>
  <c r="J348" i="1"/>
  <c r="AY348" i="1"/>
  <c r="BE348" i="1"/>
  <c r="K349" i="1"/>
  <c r="AG349" i="1" s="1"/>
  <c r="M349" i="1"/>
  <c r="BA349" i="1"/>
  <c r="U349" i="1"/>
  <c r="W349" i="1"/>
  <c r="X349" i="1"/>
  <c r="AA349" i="1"/>
  <c r="AB349" i="1"/>
  <c r="AC349" i="1"/>
  <c r="AE349" i="1"/>
  <c r="AF349" i="1"/>
  <c r="AJ349" i="1"/>
  <c r="AK349" i="1"/>
  <c r="AY349" i="1"/>
  <c r="BE349" i="1"/>
  <c r="K350" i="1"/>
  <c r="AG350" i="1" s="1"/>
  <c r="M350" i="1"/>
  <c r="BA350" i="1"/>
  <c r="U350" i="1"/>
  <c r="W350" i="1"/>
  <c r="X350" i="1"/>
  <c r="AA350" i="1"/>
  <c r="AB350" i="1"/>
  <c r="AC350" i="1"/>
  <c r="AE350" i="1"/>
  <c r="AF350" i="1"/>
  <c r="AJ350" i="1"/>
  <c r="BC350" i="1"/>
  <c r="Y350" i="1" s="1"/>
  <c r="AK350" i="1"/>
  <c r="J350" i="1"/>
  <c r="AY350" i="1"/>
  <c r="BE350" i="1"/>
  <c r="K351" i="1"/>
  <c r="AG351" i="1"/>
  <c r="M351" i="1"/>
  <c r="BA351" i="1" s="1"/>
  <c r="U351" i="1"/>
  <c r="W351" i="1"/>
  <c r="X351" i="1"/>
  <c r="AA351" i="1"/>
  <c r="AB351" i="1"/>
  <c r="AC351" i="1"/>
  <c r="AE351" i="1"/>
  <c r="AF351" i="1"/>
  <c r="AJ351" i="1"/>
  <c r="I351" i="1"/>
  <c r="AK351" i="1"/>
  <c r="AY351" i="1"/>
  <c r="BE351" i="1"/>
  <c r="K352" i="1"/>
  <c r="AG352" i="1"/>
  <c r="M352" i="1"/>
  <c r="BA352" i="1"/>
  <c r="U352" i="1"/>
  <c r="W352" i="1"/>
  <c r="X352" i="1"/>
  <c r="AA352" i="1"/>
  <c r="AB352" i="1"/>
  <c r="AC352" i="1"/>
  <c r="AE352" i="1"/>
  <c r="AF352" i="1"/>
  <c r="AJ352" i="1"/>
  <c r="I352" i="1" s="1"/>
  <c r="AK352" i="1"/>
  <c r="AS352" i="1"/>
  <c r="AY352" i="1"/>
  <c r="BE352" i="1"/>
  <c r="K353" i="1"/>
  <c r="AG353" i="1"/>
  <c r="M353" i="1"/>
  <c r="BA353" i="1" s="1"/>
  <c r="U353" i="1"/>
  <c r="W353" i="1"/>
  <c r="X353" i="1"/>
  <c r="AA353" i="1"/>
  <c r="AB353" i="1"/>
  <c r="AC353" i="1"/>
  <c r="AE353" i="1"/>
  <c r="AF353" i="1"/>
  <c r="AJ353" i="1"/>
  <c r="AR353" i="1" s="1"/>
  <c r="AQ353" i="1" s="1"/>
  <c r="AK353" i="1"/>
  <c r="AS353" i="1"/>
  <c r="AY353" i="1"/>
  <c r="BE353" i="1"/>
  <c r="K354" i="1"/>
  <c r="AG354" i="1" s="1"/>
  <c r="M354" i="1"/>
  <c r="BA354" i="1"/>
  <c r="U354" i="1"/>
  <c r="W354" i="1"/>
  <c r="X354" i="1"/>
  <c r="AA354" i="1"/>
  <c r="AB354" i="1"/>
  <c r="AC354" i="1"/>
  <c r="AE354" i="1"/>
  <c r="AF354" i="1"/>
  <c r="AJ354" i="1"/>
  <c r="I354" i="1" s="1"/>
  <c r="AK354" i="1"/>
  <c r="AY354" i="1"/>
  <c r="BE354" i="1"/>
  <c r="K355" i="1"/>
  <c r="AG355" i="1"/>
  <c r="M355" i="1"/>
  <c r="BA355" i="1"/>
  <c r="U355" i="1"/>
  <c r="W355" i="1"/>
  <c r="X355" i="1"/>
  <c r="AA355" i="1"/>
  <c r="AB355" i="1"/>
  <c r="AC355" i="1"/>
  <c r="AE355" i="1"/>
  <c r="AF355" i="1"/>
  <c r="AJ355" i="1"/>
  <c r="BC355" i="1"/>
  <c r="Y355" i="1"/>
  <c r="AK355" i="1"/>
  <c r="BD355" i="1" s="1"/>
  <c r="Z355" i="1" s="1"/>
  <c r="AY355" i="1"/>
  <c r="BE355" i="1"/>
  <c r="K356" i="1"/>
  <c r="AG356" i="1"/>
  <c r="M356" i="1"/>
  <c r="BA356" i="1" s="1"/>
  <c r="U356" i="1"/>
  <c r="W356" i="1"/>
  <c r="X356" i="1"/>
  <c r="AA356" i="1"/>
  <c r="AB356" i="1"/>
  <c r="AC356" i="1"/>
  <c r="AE356" i="1"/>
  <c r="AF356" i="1"/>
  <c r="AJ356" i="1"/>
  <c r="AK356" i="1"/>
  <c r="AY356" i="1"/>
  <c r="BE356" i="1"/>
  <c r="K357" i="1"/>
  <c r="AG357" i="1"/>
  <c r="M357" i="1"/>
  <c r="BA357" i="1" s="1"/>
  <c r="U357" i="1"/>
  <c r="W357" i="1"/>
  <c r="X357" i="1"/>
  <c r="AA357" i="1"/>
  <c r="AB357" i="1"/>
  <c r="AC357" i="1"/>
  <c r="AE357" i="1"/>
  <c r="AF357" i="1"/>
  <c r="AJ357" i="1"/>
  <c r="BC357" i="1" s="1"/>
  <c r="Y357" i="1" s="1"/>
  <c r="AK357" i="1"/>
  <c r="AY357" i="1"/>
  <c r="BE357" i="1"/>
  <c r="K358" i="1"/>
  <c r="AG358" i="1" s="1"/>
  <c r="M358" i="1"/>
  <c r="BA358" i="1"/>
  <c r="U358" i="1"/>
  <c r="W358" i="1"/>
  <c r="X358" i="1"/>
  <c r="AA358" i="1"/>
  <c r="AB358" i="1"/>
  <c r="AC358" i="1"/>
  <c r="AE358" i="1"/>
  <c r="AF358" i="1"/>
  <c r="AJ358" i="1"/>
  <c r="I358" i="1"/>
  <c r="AK358" i="1"/>
  <c r="AS358" i="1"/>
  <c r="AY358" i="1"/>
  <c r="BE358" i="1"/>
  <c r="K359" i="1"/>
  <c r="AG359" i="1"/>
  <c r="M359" i="1"/>
  <c r="BA359" i="1"/>
  <c r="U359" i="1"/>
  <c r="W359" i="1"/>
  <c r="X359" i="1"/>
  <c r="AA359" i="1"/>
  <c r="AB359" i="1"/>
  <c r="AC359" i="1"/>
  <c r="AE359" i="1"/>
  <c r="AF359" i="1"/>
  <c r="AJ359" i="1"/>
  <c r="AR359" i="1"/>
  <c r="AK359" i="1"/>
  <c r="J359" i="1" s="1"/>
  <c r="AY359" i="1"/>
  <c r="BE359" i="1"/>
  <c r="K360" i="1"/>
  <c r="AG360" i="1"/>
  <c r="M360" i="1"/>
  <c r="BA360" i="1"/>
  <c r="U360" i="1"/>
  <c r="W360" i="1"/>
  <c r="X360" i="1"/>
  <c r="AA360" i="1"/>
  <c r="AB360" i="1"/>
  <c r="AC360" i="1"/>
  <c r="AE360" i="1"/>
  <c r="AF360" i="1"/>
  <c r="AJ360" i="1"/>
  <c r="AK360" i="1"/>
  <c r="J360" i="1" s="1"/>
  <c r="AY360" i="1"/>
  <c r="BE360" i="1"/>
  <c r="K361" i="1"/>
  <c r="AG361" i="1" s="1"/>
  <c r="M361" i="1"/>
  <c r="BA361" i="1"/>
  <c r="U361" i="1"/>
  <c r="W361" i="1"/>
  <c r="X361" i="1"/>
  <c r="AA361" i="1"/>
  <c r="AB361" i="1"/>
  <c r="AC361" i="1"/>
  <c r="AE361" i="1"/>
  <c r="AF361" i="1"/>
  <c r="AJ361" i="1"/>
  <c r="BC361" i="1"/>
  <c r="Y361" i="1"/>
  <c r="AK361" i="1"/>
  <c r="AY361" i="1"/>
  <c r="BE361" i="1"/>
  <c r="K362" i="1"/>
  <c r="AG362" i="1"/>
  <c r="M362" i="1"/>
  <c r="BA362" i="1"/>
  <c r="U362" i="1"/>
  <c r="W362" i="1"/>
  <c r="X362" i="1"/>
  <c r="AA362" i="1"/>
  <c r="AB362" i="1"/>
  <c r="AC362" i="1"/>
  <c r="AE362" i="1"/>
  <c r="AF362" i="1"/>
  <c r="AJ362" i="1"/>
  <c r="BC362" i="1" s="1"/>
  <c r="Y362" i="1" s="1"/>
  <c r="AK362" i="1"/>
  <c r="J362" i="1"/>
  <c r="AY362" i="1"/>
  <c r="BE362" i="1"/>
  <c r="K363" i="1"/>
  <c r="AG363" i="1"/>
  <c r="M363" i="1"/>
  <c r="BA363" i="1"/>
  <c r="U363" i="1"/>
  <c r="W363" i="1"/>
  <c r="X363" i="1"/>
  <c r="AA363" i="1"/>
  <c r="AB363" i="1"/>
  <c r="AC363" i="1"/>
  <c r="AE363" i="1"/>
  <c r="AF363" i="1"/>
  <c r="AJ363" i="1"/>
  <c r="BC363" i="1"/>
  <c r="Y363" i="1"/>
  <c r="AK363" i="1"/>
  <c r="AS363" i="1"/>
  <c r="AY363" i="1"/>
  <c r="BE363" i="1"/>
  <c r="K365" i="1"/>
  <c r="AG365" i="1" s="1"/>
  <c r="M365" i="1"/>
  <c r="BA365" i="1"/>
  <c r="U365" i="1"/>
  <c r="W365" i="1"/>
  <c r="X365" i="1"/>
  <c r="AA365" i="1"/>
  <c r="AB365" i="1"/>
  <c r="AC365" i="1"/>
  <c r="AE365" i="1"/>
  <c r="AF365" i="1"/>
  <c r="AJ365" i="1"/>
  <c r="AK365" i="1"/>
  <c r="BD365" i="1"/>
  <c r="Z365" i="1"/>
  <c r="AY365" i="1"/>
  <c r="BE365" i="1"/>
  <c r="K366" i="1"/>
  <c r="AG366" i="1"/>
  <c r="M366" i="1"/>
  <c r="BA366" i="1" s="1"/>
  <c r="U366" i="1"/>
  <c r="W366" i="1"/>
  <c r="X366" i="1"/>
  <c r="AA366" i="1"/>
  <c r="AB366" i="1"/>
  <c r="AC366" i="1"/>
  <c r="AE366" i="1"/>
  <c r="AF366" i="1"/>
  <c r="AJ366" i="1"/>
  <c r="I366" i="1"/>
  <c r="AK366" i="1"/>
  <c r="J366" i="1" s="1"/>
  <c r="AY366" i="1"/>
  <c r="BE366" i="1"/>
  <c r="K367" i="1"/>
  <c r="AG367" i="1"/>
  <c r="M367" i="1"/>
  <c r="BA367" i="1"/>
  <c r="U367" i="1"/>
  <c r="W367" i="1"/>
  <c r="X367" i="1"/>
  <c r="AA367" i="1"/>
  <c r="AB367" i="1"/>
  <c r="AC367" i="1"/>
  <c r="AE367" i="1"/>
  <c r="AF367" i="1"/>
  <c r="AJ367" i="1"/>
  <c r="AR367" i="1" s="1"/>
  <c r="AK367" i="1"/>
  <c r="J367" i="1"/>
  <c r="AY367" i="1"/>
  <c r="BE367" i="1"/>
  <c r="K368" i="1"/>
  <c r="AG368" i="1"/>
  <c r="M368" i="1"/>
  <c r="BA368" i="1" s="1"/>
  <c r="U368" i="1"/>
  <c r="W368" i="1"/>
  <c r="X368" i="1"/>
  <c r="AA368" i="1"/>
  <c r="AB368" i="1"/>
  <c r="AC368" i="1"/>
  <c r="AE368" i="1"/>
  <c r="AF368" i="1"/>
  <c r="AJ368" i="1"/>
  <c r="BC368" i="1"/>
  <c r="Y368" i="1" s="1"/>
  <c r="AK368" i="1"/>
  <c r="BD368" i="1" s="1"/>
  <c r="Z368" i="1" s="1"/>
  <c r="AY368" i="1"/>
  <c r="BE368" i="1"/>
  <c r="K369" i="1"/>
  <c r="AG369" i="1"/>
  <c r="M369" i="1"/>
  <c r="BA369" i="1" s="1"/>
  <c r="U369" i="1"/>
  <c r="W369" i="1"/>
  <c r="X369" i="1"/>
  <c r="AA369" i="1"/>
  <c r="AB369" i="1"/>
  <c r="AC369" i="1"/>
  <c r="AE369" i="1"/>
  <c r="AF369" i="1"/>
  <c r="AJ369" i="1"/>
  <c r="AR369" i="1"/>
  <c r="AK369" i="1"/>
  <c r="AY369" i="1"/>
  <c r="BE369" i="1"/>
  <c r="K370" i="1"/>
  <c r="AG370" i="1" s="1"/>
  <c r="M370" i="1"/>
  <c r="BA370" i="1" s="1"/>
  <c r="U370" i="1"/>
  <c r="W370" i="1"/>
  <c r="X370" i="1"/>
  <c r="AA370" i="1"/>
  <c r="AB370" i="1"/>
  <c r="AC370" i="1"/>
  <c r="AE370" i="1"/>
  <c r="AF370" i="1"/>
  <c r="AJ370" i="1"/>
  <c r="I370" i="1"/>
  <c r="AK370" i="1"/>
  <c r="BD370" i="1"/>
  <c r="Z370" i="1"/>
  <c r="AY370" i="1"/>
  <c r="BE370" i="1"/>
  <c r="K371" i="1"/>
  <c r="M371" i="1"/>
  <c r="BA371" i="1"/>
  <c r="U371" i="1"/>
  <c r="W371" i="1"/>
  <c r="X371" i="1"/>
  <c r="AA371" i="1"/>
  <c r="AB371" i="1"/>
  <c r="AC371" i="1"/>
  <c r="AE371" i="1"/>
  <c r="AF371" i="1"/>
  <c r="AJ371" i="1"/>
  <c r="I371" i="1"/>
  <c r="AK371" i="1"/>
  <c r="BD371" i="1" s="1"/>
  <c r="Z371" i="1" s="1"/>
  <c r="AY371" i="1"/>
  <c r="BE371" i="1"/>
  <c r="K372" i="1"/>
  <c r="AG372" i="1" s="1"/>
  <c r="M372" i="1"/>
  <c r="BA372" i="1"/>
  <c r="U372" i="1"/>
  <c r="W372" i="1"/>
  <c r="X372" i="1"/>
  <c r="AA372" i="1"/>
  <c r="AB372" i="1"/>
  <c r="AC372" i="1"/>
  <c r="AE372" i="1"/>
  <c r="AF372" i="1"/>
  <c r="AJ372" i="1"/>
  <c r="AK372" i="1"/>
  <c r="BD372" i="1" s="1"/>
  <c r="Z372" i="1" s="1"/>
  <c r="AY372" i="1"/>
  <c r="BE372" i="1"/>
  <c r="K373" i="1"/>
  <c r="AG373" i="1"/>
  <c r="M373" i="1"/>
  <c r="BA373" i="1" s="1"/>
  <c r="U373" i="1"/>
  <c r="W373" i="1"/>
  <c r="X373" i="1"/>
  <c r="AA373" i="1"/>
  <c r="AB373" i="1"/>
  <c r="AC373" i="1"/>
  <c r="AE373" i="1"/>
  <c r="AF373" i="1"/>
  <c r="AJ373" i="1"/>
  <c r="BC373" i="1"/>
  <c r="Y373" i="1"/>
  <c r="AK373" i="1"/>
  <c r="J373" i="1"/>
  <c r="AY373" i="1"/>
  <c r="BE373" i="1"/>
  <c r="K374" i="1"/>
  <c r="AG374" i="1"/>
  <c r="M374" i="1"/>
  <c r="BA374" i="1"/>
  <c r="U374" i="1"/>
  <c r="W374" i="1"/>
  <c r="X374" i="1"/>
  <c r="AA374" i="1"/>
  <c r="AB374" i="1"/>
  <c r="AC374" i="1"/>
  <c r="AE374" i="1"/>
  <c r="AF374" i="1"/>
  <c r="AJ374" i="1"/>
  <c r="BC374" i="1"/>
  <c r="Y374" i="1"/>
  <c r="AK374" i="1"/>
  <c r="AS374" i="1" s="1"/>
  <c r="AY374" i="1"/>
  <c r="BE374" i="1"/>
  <c r="K375" i="1"/>
  <c r="AG375" i="1" s="1"/>
  <c r="M375" i="1"/>
  <c r="BA375" i="1"/>
  <c r="U375" i="1"/>
  <c r="W375" i="1"/>
  <c r="X375" i="1"/>
  <c r="AA375" i="1"/>
  <c r="AB375" i="1"/>
  <c r="AC375" i="1"/>
  <c r="AE375" i="1"/>
  <c r="AF375" i="1"/>
  <c r="AJ375" i="1"/>
  <c r="AK375" i="1"/>
  <c r="AY375" i="1"/>
  <c r="BE375" i="1"/>
  <c r="K376" i="1"/>
  <c r="AG376" i="1" s="1"/>
  <c r="M376" i="1"/>
  <c r="BA376" i="1"/>
  <c r="U376" i="1"/>
  <c r="W376" i="1"/>
  <c r="X376" i="1"/>
  <c r="AA376" i="1"/>
  <c r="AB376" i="1"/>
  <c r="AC376" i="1"/>
  <c r="AE376" i="1"/>
  <c r="AF376" i="1"/>
  <c r="AJ376" i="1"/>
  <c r="I376" i="1"/>
  <c r="AK376" i="1"/>
  <c r="AY376" i="1"/>
  <c r="BE376" i="1"/>
  <c r="K377" i="1"/>
  <c r="AG377" i="1" s="1"/>
  <c r="M377" i="1"/>
  <c r="BA377" i="1" s="1"/>
  <c r="U377" i="1"/>
  <c r="W377" i="1"/>
  <c r="X377" i="1"/>
  <c r="AA377" i="1"/>
  <c r="AB377" i="1"/>
  <c r="AC377" i="1"/>
  <c r="AE377" i="1"/>
  <c r="AF377" i="1"/>
  <c r="AJ377" i="1"/>
  <c r="BC377" i="1" s="1"/>
  <c r="Y377" i="1" s="1"/>
  <c r="AK377" i="1"/>
  <c r="BD377" i="1" s="1"/>
  <c r="Z377" i="1" s="1"/>
  <c r="AY377" i="1"/>
  <c r="BE377" i="1"/>
  <c r="K378" i="1"/>
  <c r="AG378" i="1"/>
  <c r="M378" i="1"/>
  <c r="BA378" i="1"/>
  <c r="U378" i="1"/>
  <c r="W378" i="1"/>
  <c r="X378" i="1"/>
  <c r="AA378" i="1"/>
  <c r="AB378" i="1"/>
  <c r="AC378" i="1"/>
  <c r="AE378" i="1"/>
  <c r="AF378" i="1"/>
  <c r="AJ378" i="1"/>
  <c r="I378" i="1"/>
  <c r="AK378" i="1"/>
  <c r="BD378" i="1" s="1"/>
  <c r="Z378" i="1" s="1"/>
  <c r="AY378" i="1"/>
  <c r="BE378" i="1"/>
  <c r="K379" i="1"/>
  <c r="AG379" i="1" s="1"/>
  <c r="M379" i="1"/>
  <c r="BA379" i="1"/>
  <c r="U379" i="1"/>
  <c r="W379" i="1"/>
  <c r="X379" i="1"/>
  <c r="AA379" i="1"/>
  <c r="AB379" i="1"/>
  <c r="AC379" i="1"/>
  <c r="AE379" i="1"/>
  <c r="AF379" i="1"/>
  <c r="AJ379" i="1"/>
  <c r="AR379" i="1"/>
  <c r="AK379" i="1"/>
  <c r="AY379" i="1"/>
  <c r="BE379" i="1"/>
  <c r="K380" i="1"/>
  <c r="AG380" i="1" s="1"/>
  <c r="M380" i="1"/>
  <c r="BA380" i="1" s="1"/>
  <c r="U380" i="1"/>
  <c r="W380" i="1"/>
  <c r="X380" i="1"/>
  <c r="AA380" i="1"/>
  <c r="AB380" i="1"/>
  <c r="AC380" i="1"/>
  <c r="AE380" i="1"/>
  <c r="AF380" i="1"/>
  <c r="AJ380" i="1"/>
  <c r="AK380" i="1"/>
  <c r="AS380" i="1"/>
  <c r="AY380" i="1"/>
  <c r="BE380" i="1"/>
  <c r="K381" i="1"/>
  <c r="AG381" i="1"/>
  <c r="M381" i="1"/>
  <c r="BA381" i="1"/>
  <c r="U381" i="1"/>
  <c r="W381" i="1"/>
  <c r="X381" i="1"/>
  <c r="AA381" i="1"/>
  <c r="AB381" i="1"/>
  <c r="AC381" i="1"/>
  <c r="AE381" i="1"/>
  <c r="AF381" i="1"/>
  <c r="AJ381" i="1"/>
  <c r="BC381" i="1"/>
  <c r="Y381" i="1"/>
  <c r="AK381" i="1"/>
  <c r="J381" i="1"/>
  <c r="AY381" i="1"/>
  <c r="BE381" i="1"/>
  <c r="K382" i="1"/>
  <c r="AG382" i="1"/>
  <c r="M382" i="1"/>
  <c r="BA382" i="1"/>
  <c r="U382" i="1"/>
  <c r="W382" i="1"/>
  <c r="X382" i="1"/>
  <c r="AA382" i="1"/>
  <c r="AB382" i="1"/>
  <c r="AC382" i="1"/>
  <c r="AE382" i="1"/>
  <c r="AF382" i="1"/>
  <c r="AJ382" i="1"/>
  <c r="AK382" i="1"/>
  <c r="J382" i="1"/>
  <c r="AY382" i="1"/>
  <c r="BE382" i="1"/>
  <c r="K383" i="1"/>
  <c r="AG383" i="1" s="1"/>
  <c r="M383" i="1"/>
  <c r="BA383" i="1" s="1"/>
  <c r="U383" i="1"/>
  <c r="W383" i="1"/>
  <c r="X383" i="1"/>
  <c r="AA383" i="1"/>
  <c r="AB383" i="1"/>
  <c r="AC383" i="1"/>
  <c r="AE383" i="1"/>
  <c r="AF383" i="1"/>
  <c r="AJ383" i="1"/>
  <c r="I383" i="1"/>
  <c r="AK383" i="1"/>
  <c r="J383" i="1"/>
  <c r="AY383" i="1"/>
  <c r="BE383" i="1"/>
  <c r="K384" i="1"/>
  <c r="AG384" i="1" s="1"/>
  <c r="M384" i="1"/>
  <c r="BA384" i="1"/>
  <c r="U384" i="1"/>
  <c r="W384" i="1"/>
  <c r="X384" i="1"/>
  <c r="AA384" i="1"/>
  <c r="AB384" i="1"/>
  <c r="AC384" i="1"/>
  <c r="AE384" i="1"/>
  <c r="AF384" i="1"/>
  <c r="AJ384" i="1"/>
  <c r="AK384" i="1"/>
  <c r="AY384" i="1"/>
  <c r="BE384" i="1"/>
  <c r="K385" i="1"/>
  <c r="AG385" i="1" s="1"/>
  <c r="M385" i="1"/>
  <c r="BA385" i="1"/>
  <c r="U385" i="1"/>
  <c r="W385" i="1"/>
  <c r="X385" i="1"/>
  <c r="AA385" i="1"/>
  <c r="AB385" i="1"/>
  <c r="AC385" i="1"/>
  <c r="AE385" i="1"/>
  <c r="AF385" i="1"/>
  <c r="AJ385" i="1"/>
  <c r="AR385" i="1"/>
  <c r="AK385" i="1"/>
  <c r="AY385" i="1"/>
  <c r="BE385" i="1"/>
  <c r="K386" i="1"/>
  <c r="AG386" i="1"/>
  <c r="M386" i="1"/>
  <c r="BA386" i="1" s="1"/>
  <c r="U386" i="1"/>
  <c r="W386" i="1"/>
  <c r="X386" i="1"/>
  <c r="AA386" i="1"/>
  <c r="AB386" i="1"/>
  <c r="AC386" i="1"/>
  <c r="AE386" i="1"/>
  <c r="AF386" i="1"/>
  <c r="AJ386" i="1"/>
  <c r="BC386" i="1" s="1"/>
  <c r="Y386" i="1" s="1"/>
  <c r="AK386" i="1"/>
  <c r="J386" i="1" s="1"/>
  <c r="AY386" i="1"/>
  <c r="BE386" i="1"/>
  <c r="K387" i="1"/>
  <c r="AG387" i="1"/>
  <c r="M387" i="1"/>
  <c r="BA387" i="1"/>
  <c r="U387" i="1"/>
  <c r="W387" i="1"/>
  <c r="X387" i="1"/>
  <c r="AA387" i="1"/>
  <c r="AB387" i="1"/>
  <c r="AC387" i="1"/>
  <c r="AE387" i="1"/>
  <c r="AF387" i="1"/>
  <c r="AJ387" i="1"/>
  <c r="BC387" i="1" s="1"/>
  <c r="Y387" i="1" s="1"/>
  <c r="AK387" i="1"/>
  <c r="BD387" i="1" s="1"/>
  <c r="Z387" i="1" s="1"/>
  <c r="AY387" i="1"/>
  <c r="BE387" i="1"/>
  <c r="K388" i="1"/>
  <c r="AG388" i="1" s="1"/>
  <c r="M388" i="1"/>
  <c r="BA388" i="1"/>
  <c r="U388" i="1"/>
  <c r="W388" i="1"/>
  <c r="X388" i="1"/>
  <c r="AA388" i="1"/>
  <c r="AB388" i="1"/>
  <c r="AC388" i="1"/>
  <c r="AE388" i="1"/>
  <c r="AF388" i="1"/>
  <c r="AJ388" i="1"/>
  <c r="I388" i="1" s="1"/>
  <c r="AK388" i="1"/>
  <c r="J388" i="1" s="1"/>
  <c r="AY388" i="1"/>
  <c r="BE388" i="1"/>
  <c r="K389" i="1"/>
  <c r="AG389" i="1"/>
  <c r="M389" i="1"/>
  <c r="BA389" i="1" s="1"/>
  <c r="U389" i="1"/>
  <c r="W389" i="1"/>
  <c r="X389" i="1"/>
  <c r="AA389" i="1"/>
  <c r="AB389" i="1"/>
  <c r="AC389" i="1"/>
  <c r="AE389" i="1"/>
  <c r="AF389" i="1"/>
  <c r="AJ389" i="1"/>
  <c r="AR389" i="1" s="1"/>
  <c r="AK389" i="1"/>
  <c r="J389" i="1" s="1"/>
  <c r="AY389" i="1"/>
  <c r="BE389" i="1"/>
  <c r="K390" i="1"/>
  <c r="AG390" i="1"/>
  <c r="M390" i="1"/>
  <c r="U390" i="1"/>
  <c r="W390" i="1"/>
  <c r="X390" i="1"/>
  <c r="AA390" i="1"/>
  <c r="AB390" i="1"/>
  <c r="AC390" i="1"/>
  <c r="AE390" i="1"/>
  <c r="AF390" i="1"/>
  <c r="AJ390" i="1"/>
  <c r="AR390" i="1"/>
  <c r="AK390" i="1"/>
  <c r="BD390" i="1" s="1"/>
  <c r="Z390" i="1" s="1"/>
  <c r="AY390" i="1"/>
  <c r="BA390" i="1"/>
  <c r="BE390" i="1"/>
  <c r="K391" i="1"/>
  <c r="AG391" i="1"/>
  <c r="M391" i="1"/>
  <c r="BA391" i="1" s="1"/>
  <c r="U391" i="1"/>
  <c r="W391" i="1"/>
  <c r="X391" i="1"/>
  <c r="AA391" i="1"/>
  <c r="AB391" i="1"/>
  <c r="AC391" i="1"/>
  <c r="AE391" i="1"/>
  <c r="AF391" i="1"/>
  <c r="AJ391" i="1"/>
  <c r="AK391" i="1"/>
  <c r="AY391" i="1"/>
  <c r="BE391" i="1"/>
  <c r="K392" i="1"/>
  <c r="AG392" i="1"/>
  <c r="M392" i="1"/>
  <c r="BA392" i="1" s="1"/>
  <c r="U392" i="1"/>
  <c r="W392" i="1"/>
  <c r="X392" i="1"/>
  <c r="AA392" i="1"/>
  <c r="AB392" i="1"/>
  <c r="AC392" i="1"/>
  <c r="AE392" i="1"/>
  <c r="AF392" i="1"/>
  <c r="AJ392" i="1"/>
  <c r="AK392" i="1"/>
  <c r="BD392" i="1" s="1"/>
  <c r="Z392" i="1" s="1"/>
  <c r="AY392" i="1"/>
  <c r="BE392" i="1"/>
  <c r="K393" i="1"/>
  <c r="AG393" i="1"/>
  <c r="M393" i="1"/>
  <c r="BA393" i="1" s="1"/>
  <c r="U393" i="1"/>
  <c r="W393" i="1"/>
  <c r="X393" i="1"/>
  <c r="AA393" i="1"/>
  <c r="AB393" i="1"/>
  <c r="AC393" i="1"/>
  <c r="AE393" i="1"/>
  <c r="AF393" i="1"/>
  <c r="AJ393" i="1"/>
  <c r="AK393" i="1"/>
  <c r="AY393" i="1"/>
  <c r="BE393" i="1"/>
  <c r="K394" i="1"/>
  <c r="AG394" i="1"/>
  <c r="M394" i="1"/>
  <c r="BA394" i="1" s="1"/>
  <c r="U394" i="1"/>
  <c r="W394" i="1"/>
  <c r="X394" i="1"/>
  <c r="AA394" i="1"/>
  <c r="AB394" i="1"/>
  <c r="AC394" i="1"/>
  <c r="AE394" i="1"/>
  <c r="AF394" i="1"/>
  <c r="AJ394" i="1"/>
  <c r="I394" i="1"/>
  <c r="AK394" i="1"/>
  <c r="AY394" i="1"/>
  <c r="BE394" i="1"/>
  <c r="K395" i="1"/>
  <c r="AG395" i="1"/>
  <c r="M395" i="1"/>
  <c r="BA395" i="1"/>
  <c r="U395" i="1"/>
  <c r="W395" i="1"/>
  <c r="X395" i="1"/>
  <c r="AA395" i="1"/>
  <c r="AB395" i="1"/>
  <c r="AC395" i="1"/>
  <c r="AE395" i="1"/>
  <c r="AF395" i="1"/>
  <c r="AJ395" i="1"/>
  <c r="BC395" i="1" s="1"/>
  <c r="Y395" i="1" s="1"/>
  <c r="AK395" i="1"/>
  <c r="AY395" i="1"/>
  <c r="BE395" i="1"/>
  <c r="K396" i="1"/>
  <c r="AG396" i="1"/>
  <c r="M396" i="1"/>
  <c r="BA396" i="1" s="1"/>
  <c r="U396" i="1"/>
  <c r="W396" i="1"/>
  <c r="X396" i="1"/>
  <c r="AA396" i="1"/>
  <c r="AB396" i="1"/>
  <c r="AC396" i="1"/>
  <c r="AE396" i="1"/>
  <c r="AF396" i="1"/>
  <c r="AJ396" i="1"/>
  <c r="I396" i="1" s="1"/>
  <c r="AK396" i="1"/>
  <c r="AY396" i="1"/>
  <c r="BE396" i="1"/>
  <c r="K397" i="1"/>
  <c r="AG397" i="1" s="1"/>
  <c r="M397" i="1"/>
  <c r="BA397" i="1"/>
  <c r="U397" i="1"/>
  <c r="W397" i="1"/>
  <c r="X397" i="1"/>
  <c r="AA397" i="1"/>
  <c r="AB397" i="1"/>
  <c r="AC397" i="1"/>
  <c r="AE397" i="1"/>
  <c r="AF397" i="1"/>
  <c r="AJ397" i="1"/>
  <c r="AK397" i="1"/>
  <c r="BD397" i="1"/>
  <c r="Z397" i="1" s="1"/>
  <c r="AY397" i="1"/>
  <c r="BE397" i="1"/>
  <c r="K398" i="1"/>
  <c r="AG398" i="1"/>
  <c r="M398" i="1"/>
  <c r="BA398" i="1" s="1"/>
  <c r="U398" i="1"/>
  <c r="W398" i="1"/>
  <c r="X398" i="1"/>
  <c r="AA398" i="1"/>
  <c r="AB398" i="1"/>
  <c r="AC398" i="1"/>
  <c r="AE398" i="1"/>
  <c r="AF398" i="1"/>
  <c r="AJ398" i="1"/>
  <c r="AK398" i="1"/>
  <c r="AY398" i="1"/>
  <c r="BE398" i="1"/>
  <c r="K399" i="1"/>
  <c r="AG399" i="1"/>
  <c r="M399" i="1"/>
  <c r="BA399" i="1"/>
  <c r="U399" i="1"/>
  <c r="W399" i="1"/>
  <c r="X399" i="1"/>
  <c r="AA399" i="1"/>
  <c r="AB399" i="1"/>
  <c r="AC399" i="1"/>
  <c r="AE399" i="1"/>
  <c r="AF399" i="1"/>
  <c r="AJ399" i="1"/>
  <c r="I399" i="1" s="1"/>
  <c r="AK399" i="1"/>
  <c r="J399" i="1" s="1"/>
  <c r="AY399" i="1"/>
  <c r="BE399" i="1"/>
  <c r="K400" i="1"/>
  <c r="AG400" i="1"/>
  <c r="M400" i="1"/>
  <c r="BA400" i="1" s="1"/>
  <c r="U400" i="1"/>
  <c r="W400" i="1"/>
  <c r="X400" i="1"/>
  <c r="AA400" i="1"/>
  <c r="AB400" i="1"/>
  <c r="AC400" i="1"/>
  <c r="AE400" i="1"/>
  <c r="AF400" i="1"/>
  <c r="AJ400" i="1"/>
  <c r="I400" i="1" s="1"/>
  <c r="AK400" i="1"/>
  <c r="BD400" i="1"/>
  <c r="Z400" i="1" s="1"/>
  <c r="AY400" i="1"/>
  <c r="BE400" i="1"/>
  <c r="K401" i="1"/>
  <c r="AG401" i="1"/>
  <c r="M401" i="1"/>
  <c r="BA401" i="1" s="1"/>
  <c r="U401" i="1"/>
  <c r="W401" i="1"/>
  <c r="X401" i="1"/>
  <c r="AA401" i="1"/>
  <c r="AB401" i="1"/>
  <c r="AC401" i="1"/>
  <c r="AE401" i="1"/>
  <c r="AF401" i="1"/>
  <c r="AJ401" i="1"/>
  <c r="BC401" i="1" s="1"/>
  <c r="Y401" i="1" s="1"/>
  <c r="AK401" i="1"/>
  <c r="J401" i="1" s="1"/>
  <c r="AY401" i="1"/>
  <c r="BE401" i="1"/>
  <c r="K402" i="1"/>
  <c r="AG402" i="1"/>
  <c r="M402" i="1"/>
  <c r="BA402" i="1"/>
  <c r="U402" i="1"/>
  <c r="W402" i="1"/>
  <c r="X402" i="1"/>
  <c r="AA402" i="1"/>
  <c r="AB402" i="1"/>
  <c r="AC402" i="1"/>
  <c r="AE402" i="1"/>
  <c r="AF402" i="1"/>
  <c r="AJ402" i="1"/>
  <c r="AK402" i="1"/>
  <c r="AS402" i="1"/>
  <c r="AY402" i="1"/>
  <c r="BE402" i="1"/>
  <c r="K403" i="1"/>
  <c r="AG403" i="1" s="1"/>
  <c r="M403" i="1"/>
  <c r="BA403" i="1"/>
  <c r="U403" i="1"/>
  <c r="W403" i="1"/>
  <c r="X403" i="1"/>
  <c r="AA403" i="1"/>
  <c r="AB403" i="1"/>
  <c r="AC403" i="1"/>
  <c r="AE403" i="1"/>
  <c r="AF403" i="1"/>
  <c r="AJ403" i="1"/>
  <c r="AK403" i="1"/>
  <c r="J403" i="1" s="1"/>
  <c r="AY403" i="1"/>
  <c r="BE403" i="1"/>
  <c r="K404" i="1"/>
  <c r="AG404" i="1"/>
  <c r="M404" i="1"/>
  <c r="BA404" i="1" s="1"/>
  <c r="U404" i="1"/>
  <c r="W404" i="1"/>
  <c r="X404" i="1"/>
  <c r="AA404" i="1"/>
  <c r="AB404" i="1"/>
  <c r="AC404" i="1"/>
  <c r="AE404" i="1"/>
  <c r="AF404" i="1"/>
  <c r="AJ404" i="1"/>
  <c r="AK404" i="1"/>
  <c r="AY404" i="1"/>
  <c r="BE404" i="1"/>
  <c r="K405" i="1"/>
  <c r="AG405" i="1"/>
  <c r="M405" i="1"/>
  <c r="BA405" i="1" s="1"/>
  <c r="U405" i="1"/>
  <c r="W405" i="1"/>
  <c r="X405" i="1"/>
  <c r="AA405" i="1"/>
  <c r="AB405" i="1"/>
  <c r="AC405" i="1"/>
  <c r="AE405" i="1"/>
  <c r="AF405" i="1"/>
  <c r="AJ405" i="1"/>
  <c r="AR405" i="1"/>
  <c r="AK405" i="1"/>
  <c r="AY405" i="1"/>
  <c r="BE405" i="1"/>
  <c r="K406" i="1"/>
  <c r="AG406" i="1"/>
  <c r="M406" i="1"/>
  <c r="BA406" i="1"/>
  <c r="U406" i="1"/>
  <c r="W406" i="1"/>
  <c r="X406" i="1"/>
  <c r="AA406" i="1"/>
  <c r="AB406" i="1"/>
  <c r="AC406" i="1"/>
  <c r="AE406" i="1"/>
  <c r="AF406" i="1"/>
  <c r="AJ406" i="1"/>
  <c r="BC406" i="1" s="1"/>
  <c r="Y406" i="1" s="1"/>
  <c r="AK406" i="1"/>
  <c r="BD406" i="1" s="1"/>
  <c r="Z406" i="1"/>
  <c r="AY406" i="1"/>
  <c r="BE406" i="1"/>
  <c r="K407" i="1"/>
  <c r="AG407" i="1" s="1"/>
  <c r="M407" i="1"/>
  <c r="BA407" i="1" s="1"/>
  <c r="U407" i="1"/>
  <c r="W407" i="1"/>
  <c r="X407" i="1"/>
  <c r="AA407" i="1"/>
  <c r="AB407" i="1"/>
  <c r="AC407" i="1"/>
  <c r="AE407" i="1"/>
  <c r="AF407" i="1"/>
  <c r="AJ407" i="1"/>
  <c r="AR407" i="1"/>
  <c r="AK407" i="1"/>
  <c r="BD407" i="1"/>
  <c r="Z407" i="1"/>
  <c r="AY407" i="1"/>
  <c r="BE407" i="1"/>
  <c r="K408" i="1"/>
  <c r="AG408" i="1"/>
  <c r="M408" i="1"/>
  <c r="BA408" i="1" s="1"/>
  <c r="U408" i="1"/>
  <c r="W408" i="1"/>
  <c r="X408" i="1"/>
  <c r="AA408" i="1"/>
  <c r="AB408" i="1"/>
  <c r="AC408" i="1"/>
  <c r="AE408" i="1"/>
  <c r="AF408" i="1"/>
  <c r="AJ408" i="1"/>
  <c r="AR408" i="1"/>
  <c r="AK408" i="1"/>
  <c r="J408" i="1"/>
  <c r="AY408" i="1"/>
  <c r="BE408" i="1"/>
  <c r="K409" i="1"/>
  <c r="AG409" i="1" s="1"/>
  <c r="M409" i="1"/>
  <c r="BA409" i="1"/>
  <c r="U409" i="1"/>
  <c r="W409" i="1"/>
  <c r="X409" i="1"/>
  <c r="AA409" i="1"/>
  <c r="AB409" i="1"/>
  <c r="AC409" i="1"/>
  <c r="AE409" i="1"/>
  <c r="AF409" i="1"/>
  <c r="AJ409" i="1"/>
  <c r="I409" i="1"/>
  <c r="AK409" i="1"/>
  <c r="BD409" i="1"/>
  <c r="Z409" i="1"/>
  <c r="AY409" i="1"/>
  <c r="BE409" i="1"/>
  <c r="K410" i="1"/>
  <c r="AG410" i="1"/>
  <c r="M410" i="1"/>
  <c r="BA410" i="1" s="1"/>
  <c r="U410" i="1"/>
  <c r="W410" i="1"/>
  <c r="X410" i="1"/>
  <c r="AA410" i="1"/>
  <c r="AB410" i="1"/>
  <c r="AC410" i="1"/>
  <c r="AE410" i="1"/>
  <c r="AF410" i="1"/>
  <c r="AJ410" i="1"/>
  <c r="AR410" i="1"/>
  <c r="AK410" i="1"/>
  <c r="BD410" i="1" s="1"/>
  <c r="Z410" i="1" s="1"/>
  <c r="AY410" i="1"/>
  <c r="BE410" i="1"/>
  <c r="K411" i="1"/>
  <c r="AG411" i="1"/>
  <c r="M411" i="1"/>
  <c r="BA411" i="1" s="1"/>
  <c r="U411" i="1"/>
  <c r="W411" i="1"/>
  <c r="X411" i="1"/>
  <c r="AA411" i="1"/>
  <c r="AB411" i="1"/>
  <c r="AC411" i="1"/>
  <c r="AE411" i="1"/>
  <c r="AF411" i="1"/>
  <c r="AJ411" i="1"/>
  <c r="I411" i="1"/>
  <c r="AK411" i="1"/>
  <c r="AY411" i="1"/>
  <c r="BE411" i="1"/>
  <c r="K412" i="1"/>
  <c r="AG412" i="1"/>
  <c r="M412" i="1"/>
  <c r="BA412" i="1"/>
  <c r="U412" i="1"/>
  <c r="W412" i="1"/>
  <c r="X412" i="1"/>
  <c r="AA412" i="1"/>
  <c r="AB412" i="1"/>
  <c r="AC412" i="1"/>
  <c r="AE412" i="1"/>
  <c r="AF412" i="1"/>
  <c r="AJ412" i="1"/>
  <c r="AR412" i="1" s="1"/>
  <c r="AK412" i="1"/>
  <c r="AY412" i="1"/>
  <c r="BE412" i="1"/>
  <c r="K413" i="1"/>
  <c r="AG413" i="1" s="1"/>
  <c r="M413" i="1"/>
  <c r="BA413" i="1"/>
  <c r="U413" i="1"/>
  <c r="W413" i="1"/>
  <c r="X413" i="1"/>
  <c r="AA413" i="1"/>
  <c r="AB413" i="1"/>
  <c r="AC413" i="1"/>
  <c r="AE413" i="1"/>
  <c r="AF413" i="1"/>
  <c r="AJ413" i="1"/>
  <c r="AR413" i="1"/>
  <c r="AK413" i="1"/>
  <c r="AS413" i="1"/>
  <c r="AY413" i="1"/>
  <c r="BE413" i="1"/>
  <c r="K414" i="1"/>
  <c r="AG414" i="1"/>
  <c r="M414" i="1"/>
  <c r="BA414" i="1"/>
  <c r="U414" i="1"/>
  <c r="W414" i="1"/>
  <c r="X414" i="1"/>
  <c r="AA414" i="1"/>
  <c r="AB414" i="1"/>
  <c r="AC414" i="1"/>
  <c r="AE414" i="1"/>
  <c r="AF414" i="1"/>
  <c r="AJ414" i="1"/>
  <c r="AK414" i="1"/>
  <c r="AY414" i="1"/>
  <c r="BE414" i="1"/>
  <c r="K415" i="1"/>
  <c r="AG415" i="1"/>
  <c r="M415" i="1"/>
  <c r="BA415" i="1"/>
  <c r="U415" i="1"/>
  <c r="W415" i="1"/>
  <c r="X415" i="1"/>
  <c r="AA415" i="1"/>
  <c r="AB415" i="1"/>
  <c r="AC415" i="1"/>
  <c r="AE415" i="1"/>
  <c r="AF415" i="1"/>
  <c r="AJ415" i="1"/>
  <c r="AK415" i="1"/>
  <c r="BD415" i="1"/>
  <c r="Z415" i="1" s="1"/>
  <c r="AY415" i="1"/>
  <c r="BE415" i="1"/>
  <c r="K416" i="1"/>
  <c r="AG416" i="1"/>
  <c r="M416" i="1"/>
  <c r="BA416" i="1"/>
  <c r="U416" i="1"/>
  <c r="W416" i="1"/>
  <c r="X416" i="1"/>
  <c r="AA416" i="1"/>
  <c r="AB416" i="1"/>
  <c r="AC416" i="1"/>
  <c r="AE416" i="1"/>
  <c r="AF416" i="1"/>
  <c r="AJ416" i="1"/>
  <c r="AR416" i="1" s="1"/>
  <c r="AK416" i="1"/>
  <c r="AS416" i="1" s="1"/>
  <c r="AY416" i="1"/>
  <c r="BE416" i="1"/>
  <c r="K417" i="1"/>
  <c r="AG417" i="1"/>
  <c r="M417" i="1"/>
  <c r="BA417" i="1" s="1"/>
  <c r="U417" i="1"/>
  <c r="W417" i="1"/>
  <c r="X417" i="1"/>
  <c r="AA417" i="1"/>
  <c r="AB417" i="1"/>
  <c r="AC417" i="1"/>
  <c r="AE417" i="1"/>
  <c r="AF417" i="1"/>
  <c r="AJ417" i="1"/>
  <c r="BC417" i="1" s="1"/>
  <c r="Y417" i="1" s="1"/>
  <c r="AK417" i="1"/>
  <c r="AS417" i="1" s="1"/>
  <c r="AY417" i="1"/>
  <c r="BE417" i="1"/>
  <c r="K418" i="1"/>
  <c r="AG418" i="1"/>
  <c r="M418" i="1"/>
  <c r="BA418" i="1"/>
  <c r="U418" i="1"/>
  <c r="W418" i="1"/>
  <c r="X418" i="1"/>
  <c r="AA418" i="1"/>
  <c r="AB418" i="1"/>
  <c r="AC418" i="1"/>
  <c r="AE418" i="1"/>
  <c r="AF418" i="1"/>
  <c r="AJ418" i="1"/>
  <c r="I418" i="1" s="1"/>
  <c r="AK418" i="1"/>
  <c r="J418" i="1"/>
  <c r="AY418" i="1"/>
  <c r="BE418" i="1"/>
  <c r="K419" i="1"/>
  <c r="AG419" i="1"/>
  <c r="M419" i="1"/>
  <c r="BA419" i="1" s="1"/>
  <c r="U419" i="1"/>
  <c r="W419" i="1"/>
  <c r="X419" i="1"/>
  <c r="AA419" i="1"/>
  <c r="AB419" i="1"/>
  <c r="AC419" i="1"/>
  <c r="AE419" i="1"/>
  <c r="AF419" i="1"/>
  <c r="AJ419" i="1"/>
  <c r="BC419" i="1"/>
  <c r="Y419" i="1" s="1"/>
  <c r="AK419" i="1"/>
  <c r="J419" i="1" s="1"/>
  <c r="AY419" i="1"/>
  <c r="BE419" i="1"/>
  <c r="K420" i="1"/>
  <c r="AG420" i="1"/>
  <c r="M420" i="1"/>
  <c r="BA420" i="1" s="1"/>
  <c r="U420" i="1"/>
  <c r="W420" i="1"/>
  <c r="X420" i="1"/>
  <c r="AA420" i="1"/>
  <c r="AB420" i="1"/>
  <c r="AC420" i="1"/>
  <c r="AE420" i="1"/>
  <c r="AF420" i="1"/>
  <c r="AJ420" i="1"/>
  <c r="AK420" i="1"/>
  <c r="AS420" i="1"/>
  <c r="AY420" i="1"/>
  <c r="BE420" i="1"/>
  <c r="K421" i="1"/>
  <c r="AG421" i="1"/>
  <c r="M421" i="1"/>
  <c r="BA421" i="1" s="1"/>
  <c r="U421" i="1"/>
  <c r="W421" i="1"/>
  <c r="X421" i="1"/>
  <c r="AA421" i="1"/>
  <c r="AB421" i="1"/>
  <c r="AC421" i="1"/>
  <c r="AE421" i="1"/>
  <c r="AF421" i="1"/>
  <c r="AJ421" i="1"/>
  <c r="BC421" i="1"/>
  <c r="Y421" i="1"/>
  <c r="AK421" i="1"/>
  <c r="BD421" i="1"/>
  <c r="Z421" i="1"/>
  <c r="AY421" i="1"/>
  <c r="BE421" i="1"/>
  <c r="K422" i="1"/>
  <c r="AG422" i="1"/>
  <c r="M422" i="1"/>
  <c r="BA422" i="1" s="1"/>
  <c r="U422" i="1"/>
  <c r="W422" i="1"/>
  <c r="X422" i="1"/>
  <c r="AA422" i="1"/>
  <c r="AB422" i="1"/>
  <c r="AC422" i="1"/>
  <c r="AE422" i="1"/>
  <c r="AF422" i="1"/>
  <c r="AJ422" i="1"/>
  <c r="I422" i="1"/>
  <c r="AK422" i="1"/>
  <c r="J422" i="1" s="1"/>
  <c r="AY422" i="1"/>
  <c r="BE422" i="1"/>
  <c r="K423" i="1"/>
  <c r="AG423" i="1" s="1"/>
  <c r="M423" i="1"/>
  <c r="BA423" i="1"/>
  <c r="U423" i="1"/>
  <c r="W423" i="1"/>
  <c r="X423" i="1"/>
  <c r="AA423" i="1"/>
  <c r="AB423" i="1"/>
  <c r="AC423" i="1"/>
  <c r="AE423" i="1"/>
  <c r="AF423" i="1"/>
  <c r="AJ423" i="1"/>
  <c r="I423" i="1" s="1"/>
  <c r="AK423" i="1"/>
  <c r="AS423" i="1"/>
  <c r="AY423" i="1"/>
  <c r="BE423" i="1"/>
  <c r="K424" i="1"/>
  <c r="AG424" i="1"/>
  <c r="M424" i="1"/>
  <c r="BA424" i="1" s="1"/>
  <c r="U424" i="1"/>
  <c r="W424" i="1"/>
  <c r="X424" i="1"/>
  <c r="AA424" i="1"/>
  <c r="AB424" i="1"/>
  <c r="AC424" i="1"/>
  <c r="AE424" i="1"/>
  <c r="AF424" i="1"/>
  <c r="AJ424" i="1"/>
  <c r="I424" i="1"/>
  <c r="AK424" i="1"/>
  <c r="AY424" i="1"/>
  <c r="BE424" i="1"/>
  <c r="K425" i="1"/>
  <c r="AG425" i="1" s="1"/>
  <c r="M425" i="1"/>
  <c r="BA425" i="1"/>
  <c r="U425" i="1"/>
  <c r="W425" i="1"/>
  <c r="X425" i="1"/>
  <c r="AA425" i="1"/>
  <c r="AB425" i="1"/>
  <c r="AC425" i="1"/>
  <c r="AE425" i="1"/>
  <c r="AF425" i="1"/>
  <c r="AJ425" i="1"/>
  <c r="AK425" i="1"/>
  <c r="AY425" i="1"/>
  <c r="BE425" i="1"/>
  <c r="K426" i="1"/>
  <c r="AG426" i="1" s="1"/>
  <c r="M426" i="1"/>
  <c r="BA426" i="1"/>
  <c r="U426" i="1"/>
  <c r="W426" i="1"/>
  <c r="X426" i="1"/>
  <c r="AA426" i="1"/>
  <c r="AB426" i="1"/>
  <c r="AC426" i="1"/>
  <c r="AE426" i="1"/>
  <c r="AF426" i="1"/>
  <c r="AJ426" i="1"/>
  <c r="AK426" i="1"/>
  <c r="AS426" i="1" s="1"/>
  <c r="AY426" i="1"/>
  <c r="BE426" i="1"/>
  <c r="K427" i="1"/>
  <c r="AG427" i="1" s="1"/>
  <c r="M427" i="1"/>
  <c r="BA427" i="1"/>
  <c r="U427" i="1"/>
  <c r="W427" i="1"/>
  <c r="X427" i="1"/>
  <c r="AA427" i="1"/>
  <c r="AB427" i="1"/>
  <c r="AC427" i="1"/>
  <c r="AE427" i="1"/>
  <c r="AF427" i="1"/>
  <c r="AJ427" i="1"/>
  <c r="AR427" i="1" s="1"/>
  <c r="AK427" i="1"/>
  <c r="J427" i="1"/>
  <c r="AY427" i="1"/>
  <c r="BE427" i="1"/>
  <c r="K428" i="1"/>
  <c r="AG428" i="1"/>
  <c r="M428" i="1"/>
  <c r="BA428" i="1" s="1"/>
  <c r="U428" i="1"/>
  <c r="W428" i="1"/>
  <c r="X428" i="1"/>
  <c r="AA428" i="1"/>
  <c r="AB428" i="1"/>
  <c r="AC428" i="1"/>
  <c r="AE428" i="1"/>
  <c r="AF428" i="1"/>
  <c r="AJ428" i="1"/>
  <c r="BC428" i="1"/>
  <c r="Y428" i="1" s="1"/>
  <c r="AK428" i="1"/>
  <c r="AS428" i="1" s="1"/>
  <c r="AY428" i="1"/>
  <c r="BE428" i="1"/>
  <c r="K429" i="1"/>
  <c r="AG429" i="1"/>
  <c r="M429" i="1"/>
  <c r="BA429" i="1" s="1"/>
  <c r="U429" i="1"/>
  <c r="W429" i="1"/>
  <c r="X429" i="1"/>
  <c r="AA429" i="1"/>
  <c r="AB429" i="1"/>
  <c r="AC429" i="1"/>
  <c r="AE429" i="1"/>
  <c r="AF429" i="1"/>
  <c r="AJ429" i="1"/>
  <c r="AR429" i="1" s="1"/>
  <c r="AK429" i="1"/>
  <c r="AS429" i="1"/>
  <c r="AY429" i="1"/>
  <c r="BE429" i="1"/>
  <c r="K430" i="1"/>
  <c r="AG430" i="1" s="1"/>
  <c r="M430" i="1"/>
  <c r="BA430" i="1" s="1"/>
  <c r="U430" i="1"/>
  <c r="W430" i="1"/>
  <c r="X430" i="1"/>
  <c r="AA430" i="1"/>
  <c r="AB430" i="1"/>
  <c r="AC430" i="1"/>
  <c r="AE430" i="1"/>
  <c r="AF430" i="1"/>
  <c r="AJ430" i="1"/>
  <c r="AK430" i="1"/>
  <c r="AY430" i="1"/>
  <c r="BE430" i="1"/>
  <c r="K431" i="1"/>
  <c r="AG431" i="1" s="1"/>
  <c r="M431" i="1"/>
  <c r="BA431" i="1" s="1"/>
  <c r="U431" i="1"/>
  <c r="W431" i="1"/>
  <c r="X431" i="1"/>
  <c r="AA431" i="1"/>
  <c r="AB431" i="1"/>
  <c r="AC431" i="1"/>
  <c r="AE431" i="1"/>
  <c r="AF431" i="1"/>
  <c r="AJ431" i="1"/>
  <c r="AK431" i="1"/>
  <c r="BD431" i="1" s="1"/>
  <c r="Z431" i="1" s="1"/>
  <c r="AY431" i="1"/>
  <c r="BE431" i="1"/>
  <c r="K432" i="1"/>
  <c r="AG432" i="1"/>
  <c r="M432" i="1"/>
  <c r="BA432" i="1"/>
  <c r="U432" i="1"/>
  <c r="W432" i="1"/>
  <c r="X432" i="1"/>
  <c r="AA432" i="1"/>
  <c r="AB432" i="1"/>
  <c r="AC432" i="1"/>
  <c r="AE432" i="1"/>
  <c r="AF432" i="1"/>
  <c r="AJ432" i="1"/>
  <c r="BC432" i="1"/>
  <c r="Y432" i="1"/>
  <c r="AK432" i="1"/>
  <c r="J432" i="1" s="1"/>
  <c r="AY432" i="1"/>
  <c r="BE432" i="1"/>
  <c r="K433" i="1"/>
  <c r="AG433" i="1" s="1"/>
  <c r="M433" i="1"/>
  <c r="BA433" i="1"/>
  <c r="U433" i="1"/>
  <c r="W433" i="1"/>
  <c r="X433" i="1"/>
  <c r="AA433" i="1"/>
  <c r="AB433" i="1"/>
  <c r="AC433" i="1"/>
  <c r="AE433" i="1"/>
  <c r="AF433" i="1"/>
  <c r="AJ433" i="1"/>
  <c r="I433" i="1"/>
  <c r="AK433" i="1"/>
  <c r="J433" i="1" s="1"/>
  <c r="AY433" i="1"/>
  <c r="BE433" i="1"/>
  <c r="K434" i="1"/>
  <c r="AG434" i="1"/>
  <c r="M434" i="1"/>
  <c r="BA434" i="1"/>
  <c r="U434" i="1"/>
  <c r="W434" i="1"/>
  <c r="X434" i="1"/>
  <c r="AA434" i="1"/>
  <c r="AB434" i="1"/>
  <c r="AC434" i="1"/>
  <c r="AE434" i="1"/>
  <c r="AF434" i="1"/>
  <c r="AJ434" i="1"/>
  <c r="BC434" i="1"/>
  <c r="Y434" i="1"/>
  <c r="AK434" i="1"/>
  <c r="AY434" i="1"/>
  <c r="BE434" i="1"/>
  <c r="K435" i="1"/>
  <c r="AG435" i="1"/>
  <c r="M435" i="1"/>
  <c r="BA435" i="1"/>
  <c r="U435" i="1"/>
  <c r="W435" i="1"/>
  <c r="X435" i="1"/>
  <c r="AA435" i="1"/>
  <c r="AB435" i="1"/>
  <c r="AC435" i="1"/>
  <c r="AE435" i="1"/>
  <c r="AF435" i="1"/>
  <c r="AJ435" i="1"/>
  <c r="AK435" i="1"/>
  <c r="AY435" i="1"/>
  <c r="BE435" i="1"/>
  <c r="K436" i="1"/>
  <c r="AG436" i="1"/>
  <c r="M436" i="1"/>
  <c r="BA436" i="1"/>
  <c r="U436" i="1"/>
  <c r="W436" i="1"/>
  <c r="X436" i="1"/>
  <c r="AA436" i="1"/>
  <c r="AB436" i="1"/>
  <c r="AC436" i="1"/>
  <c r="AE436" i="1"/>
  <c r="AF436" i="1"/>
  <c r="AJ436" i="1"/>
  <c r="I436" i="1" s="1"/>
  <c r="AK436" i="1"/>
  <c r="BD436" i="1"/>
  <c r="Z436" i="1" s="1"/>
  <c r="AY436" i="1"/>
  <c r="BE436" i="1"/>
  <c r="K437" i="1"/>
  <c r="AG437" i="1"/>
  <c r="M437" i="1"/>
  <c r="BA437" i="1" s="1"/>
  <c r="U437" i="1"/>
  <c r="W437" i="1"/>
  <c r="X437" i="1"/>
  <c r="AA437" i="1"/>
  <c r="AB437" i="1"/>
  <c r="AC437" i="1"/>
  <c r="AE437" i="1"/>
  <c r="AF437" i="1"/>
  <c r="AJ437" i="1"/>
  <c r="AR437" i="1" s="1"/>
  <c r="AK437" i="1"/>
  <c r="J437" i="1" s="1"/>
  <c r="AY437" i="1"/>
  <c r="BE437" i="1"/>
  <c r="K438" i="1"/>
  <c r="AG438" i="1"/>
  <c r="M438" i="1"/>
  <c r="BA438" i="1" s="1"/>
  <c r="U438" i="1"/>
  <c r="W438" i="1"/>
  <c r="X438" i="1"/>
  <c r="AA438" i="1"/>
  <c r="AB438" i="1"/>
  <c r="AC438" i="1"/>
  <c r="AE438" i="1"/>
  <c r="AF438" i="1"/>
  <c r="AJ438" i="1"/>
  <c r="I438" i="1" s="1"/>
  <c r="AK438" i="1"/>
  <c r="BD438" i="1"/>
  <c r="Z438" i="1" s="1"/>
  <c r="AY438" i="1"/>
  <c r="BE438" i="1"/>
  <c r="K439" i="1"/>
  <c r="AG439" i="1"/>
  <c r="M439" i="1"/>
  <c r="BA439" i="1"/>
  <c r="U439" i="1"/>
  <c r="W439" i="1"/>
  <c r="X439" i="1"/>
  <c r="AA439" i="1"/>
  <c r="AB439" i="1"/>
  <c r="AC439" i="1"/>
  <c r="AE439" i="1"/>
  <c r="AF439" i="1"/>
  <c r="AJ439" i="1"/>
  <c r="AK439" i="1"/>
  <c r="J439" i="1" s="1"/>
  <c r="AY439" i="1"/>
  <c r="BE439" i="1"/>
  <c r="K440" i="1"/>
  <c r="AG440" i="1" s="1"/>
  <c r="M440" i="1"/>
  <c r="BA440" i="1"/>
  <c r="U440" i="1"/>
  <c r="W440" i="1"/>
  <c r="X440" i="1"/>
  <c r="AA440" i="1"/>
  <c r="AB440" i="1"/>
  <c r="AC440" i="1"/>
  <c r="AE440" i="1"/>
  <c r="AF440" i="1"/>
  <c r="AJ440" i="1"/>
  <c r="AK440" i="1"/>
  <c r="BD440" i="1"/>
  <c r="Z440" i="1" s="1"/>
  <c r="AY440" i="1"/>
  <c r="BE440" i="1"/>
  <c r="K441" i="1"/>
  <c r="AG441" i="1"/>
  <c r="M441" i="1"/>
  <c r="BA441" i="1" s="1"/>
  <c r="U441" i="1"/>
  <c r="W441" i="1"/>
  <c r="X441" i="1"/>
  <c r="AA441" i="1"/>
  <c r="AB441" i="1"/>
  <c r="AC441" i="1"/>
  <c r="AE441" i="1"/>
  <c r="AF441" i="1"/>
  <c r="AJ441" i="1"/>
  <c r="AK441" i="1"/>
  <c r="AS441" i="1"/>
  <c r="AY441" i="1"/>
  <c r="BE441" i="1"/>
  <c r="K442" i="1"/>
  <c r="AG442" i="1" s="1"/>
  <c r="M442" i="1"/>
  <c r="BA442" i="1"/>
  <c r="U442" i="1"/>
  <c r="W442" i="1"/>
  <c r="X442" i="1"/>
  <c r="AA442" i="1"/>
  <c r="AB442" i="1"/>
  <c r="AC442" i="1"/>
  <c r="AE442" i="1"/>
  <c r="AF442" i="1"/>
  <c r="AJ442" i="1"/>
  <c r="I442" i="1"/>
  <c r="AK442" i="1"/>
  <c r="J442" i="1" s="1"/>
  <c r="AY442" i="1"/>
  <c r="BE442" i="1"/>
  <c r="K443" i="1"/>
  <c r="AG443" i="1"/>
  <c r="M443" i="1"/>
  <c r="BA443" i="1"/>
  <c r="U443" i="1"/>
  <c r="W443" i="1"/>
  <c r="X443" i="1"/>
  <c r="AA443" i="1"/>
  <c r="AB443" i="1"/>
  <c r="AC443" i="1"/>
  <c r="AE443" i="1"/>
  <c r="AF443" i="1"/>
  <c r="AJ443" i="1"/>
  <c r="AK443" i="1"/>
  <c r="BD443" i="1"/>
  <c r="Z443" i="1" s="1"/>
  <c r="AY443" i="1"/>
  <c r="BE443" i="1"/>
  <c r="K444" i="1"/>
  <c r="AG444" i="1"/>
  <c r="M444" i="1"/>
  <c r="U444" i="1"/>
  <c r="W444" i="1"/>
  <c r="X444" i="1"/>
  <c r="AA444" i="1"/>
  <c r="AB444" i="1"/>
  <c r="AC444" i="1"/>
  <c r="AE444" i="1"/>
  <c r="AF444" i="1"/>
  <c r="AJ444" i="1"/>
  <c r="BC444" i="1"/>
  <c r="Y444" i="1" s="1"/>
  <c r="AK444" i="1"/>
  <c r="AY444" i="1"/>
  <c r="BE444" i="1"/>
  <c r="K445" i="1"/>
  <c r="AG445" i="1"/>
  <c r="M445" i="1"/>
  <c r="BA445" i="1"/>
  <c r="U445" i="1"/>
  <c r="W445" i="1"/>
  <c r="X445" i="1"/>
  <c r="AA445" i="1"/>
  <c r="AB445" i="1"/>
  <c r="AC445" i="1"/>
  <c r="AE445" i="1"/>
  <c r="AF445" i="1"/>
  <c r="AJ445" i="1"/>
  <c r="I445" i="1" s="1"/>
  <c r="AK445" i="1"/>
  <c r="AY445" i="1"/>
  <c r="BE445" i="1"/>
  <c r="K446" i="1"/>
  <c r="AG446" i="1" s="1"/>
  <c r="M446" i="1"/>
  <c r="BA446" i="1" s="1"/>
  <c r="U446" i="1"/>
  <c r="W446" i="1"/>
  <c r="X446" i="1"/>
  <c r="AA446" i="1"/>
  <c r="AB446" i="1"/>
  <c r="AC446" i="1"/>
  <c r="AE446" i="1"/>
  <c r="AF446" i="1"/>
  <c r="AJ446" i="1"/>
  <c r="BC446" i="1"/>
  <c r="Y446" i="1" s="1"/>
  <c r="AK446" i="1"/>
  <c r="BD446" i="1" s="1"/>
  <c r="Z446" i="1" s="1"/>
  <c r="AY446" i="1"/>
  <c r="BE446" i="1"/>
  <c r="K447" i="1"/>
  <c r="AG447" i="1"/>
  <c r="M447" i="1"/>
  <c r="BA447" i="1" s="1"/>
  <c r="U447" i="1"/>
  <c r="W447" i="1"/>
  <c r="X447" i="1"/>
  <c r="AA447" i="1"/>
  <c r="AB447" i="1"/>
  <c r="AC447" i="1"/>
  <c r="AE447" i="1"/>
  <c r="AF447" i="1"/>
  <c r="AJ447" i="1"/>
  <c r="AR447" i="1"/>
  <c r="AK447" i="1"/>
  <c r="AS447" i="1" s="1"/>
  <c r="AY447" i="1"/>
  <c r="BE447" i="1"/>
  <c r="K448" i="1"/>
  <c r="AG448" i="1" s="1"/>
  <c r="M448" i="1"/>
  <c r="BA448" i="1"/>
  <c r="U448" i="1"/>
  <c r="W448" i="1"/>
  <c r="X448" i="1"/>
  <c r="AA448" i="1"/>
  <c r="AB448" i="1"/>
  <c r="AC448" i="1"/>
  <c r="AE448" i="1"/>
  <c r="AF448" i="1"/>
  <c r="AJ448" i="1"/>
  <c r="BC448" i="1" s="1"/>
  <c r="Y448" i="1" s="1"/>
  <c r="AK448" i="1"/>
  <c r="AS448" i="1" s="1"/>
  <c r="AY448" i="1"/>
  <c r="BE448" i="1"/>
  <c r="K449" i="1"/>
  <c r="AG449" i="1"/>
  <c r="M449" i="1"/>
  <c r="BA449" i="1" s="1"/>
  <c r="U449" i="1"/>
  <c r="W449" i="1"/>
  <c r="X449" i="1"/>
  <c r="AA449" i="1"/>
  <c r="AB449" i="1"/>
  <c r="AC449" i="1"/>
  <c r="AE449" i="1"/>
  <c r="AF449" i="1"/>
  <c r="AJ449" i="1"/>
  <c r="BC449" i="1" s="1"/>
  <c r="Y449" i="1" s="1"/>
  <c r="AK449" i="1"/>
  <c r="AY449" i="1"/>
  <c r="BE449" i="1"/>
  <c r="K451" i="1"/>
  <c r="M451" i="1"/>
  <c r="BA451" i="1"/>
  <c r="U451" i="1"/>
  <c r="W451" i="1"/>
  <c r="X451" i="1"/>
  <c r="AA451" i="1"/>
  <c r="AB451" i="1"/>
  <c r="AC451" i="1"/>
  <c r="AE451" i="1"/>
  <c r="AN450" i="1"/>
  <c r="AF451" i="1"/>
  <c r="AO450" i="1"/>
  <c r="AJ451" i="1"/>
  <c r="AK451" i="1"/>
  <c r="AS451" i="1"/>
  <c r="AY451" i="1"/>
  <c r="BE451" i="1"/>
  <c r="K453" i="1"/>
  <c r="AG453" i="1" s="1"/>
  <c r="M453" i="1"/>
  <c r="BA453" i="1" s="1"/>
  <c r="U453" i="1"/>
  <c r="W453" i="1"/>
  <c r="X453" i="1"/>
  <c r="AA453" i="1"/>
  <c r="AB453" i="1"/>
  <c r="AC453" i="1"/>
  <c r="AE453" i="1"/>
  <c r="AF453" i="1"/>
  <c r="AJ453" i="1"/>
  <c r="BC453" i="1"/>
  <c r="Y453" i="1" s="1"/>
  <c r="AK453" i="1"/>
  <c r="AY453" i="1"/>
  <c r="BE453" i="1"/>
  <c r="K454" i="1"/>
  <c r="AG454" i="1" s="1"/>
  <c r="M454" i="1"/>
  <c r="BA454" i="1"/>
  <c r="U454" i="1"/>
  <c r="W454" i="1"/>
  <c r="X454" i="1"/>
  <c r="AA454" i="1"/>
  <c r="AB454" i="1"/>
  <c r="AC454" i="1"/>
  <c r="AE454" i="1"/>
  <c r="AF454" i="1"/>
  <c r="AJ454" i="1"/>
  <c r="AR454" i="1" s="1"/>
  <c r="AK454" i="1"/>
  <c r="AS454" i="1" s="1"/>
  <c r="AY454" i="1"/>
  <c r="BE454" i="1"/>
  <c r="K455" i="1"/>
  <c r="AG455" i="1"/>
  <c r="M455" i="1"/>
  <c r="BA455" i="1" s="1"/>
  <c r="U455" i="1"/>
  <c r="W455" i="1"/>
  <c r="X455" i="1"/>
  <c r="AA455" i="1"/>
  <c r="AB455" i="1"/>
  <c r="AC455" i="1"/>
  <c r="AE455" i="1"/>
  <c r="AF455" i="1"/>
  <c r="AJ455" i="1"/>
  <c r="I455" i="1" s="1"/>
  <c r="AK455" i="1"/>
  <c r="BD455" i="1" s="1"/>
  <c r="Z455" i="1" s="1"/>
  <c r="AY455" i="1"/>
  <c r="BE455" i="1"/>
  <c r="K456" i="1"/>
  <c r="AG456" i="1"/>
  <c r="M456" i="1"/>
  <c r="BA456" i="1"/>
  <c r="U456" i="1"/>
  <c r="W456" i="1"/>
  <c r="X456" i="1"/>
  <c r="AA456" i="1"/>
  <c r="AB456" i="1"/>
  <c r="AC456" i="1"/>
  <c r="AE456" i="1"/>
  <c r="AF456" i="1"/>
  <c r="AJ456" i="1"/>
  <c r="AK456" i="1"/>
  <c r="AS456" i="1"/>
  <c r="AY456" i="1"/>
  <c r="BE456" i="1"/>
  <c r="K457" i="1"/>
  <c r="AG457" i="1" s="1"/>
  <c r="M457" i="1"/>
  <c r="BA457" i="1" s="1"/>
  <c r="U457" i="1"/>
  <c r="W457" i="1"/>
  <c r="X457" i="1"/>
  <c r="AA457" i="1"/>
  <c r="AB457" i="1"/>
  <c r="AC457" i="1"/>
  <c r="AE457" i="1"/>
  <c r="AF457" i="1"/>
  <c r="AJ457" i="1"/>
  <c r="I457" i="1"/>
  <c r="AK457" i="1"/>
  <c r="BD457" i="1" s="1"/>
  <c r="Z457" i="1" s="1"/>
  <c r="AY457" i="1"/>
  <c r="BE457" i="1"/>
  <c r="K458" i="1"/>
  <c r="AG458" i="1"/>
  <c r="M458" i="1"/>
  <c r="BA458" i="1" s="1"/>
  <c r="U458" i="1"/>
  <c r="W458" i="1"/>
  <c r="X458" i="1"/>
  <c r="AA458" i="1"/>
  <c r="AB458" i="1"/>
  <c r="AC458" i="1"/>
  <c r="AE458" i="1"/>
  <c r="AF458" i="1"/>
  <c r="AJ458" i="1"/>
  <c r="BC458" i="1"/>
  <c r="Y458" i="1" s="1"/>
  <c r="AK458" i="1"/>
  <c r="AS458" i="1" s="1"/>
  <c r="AY458" i="1"/>
  <c r="BE458" i="1"/>
  <c r="K459" i="1"/>
  <c r="AG459" i="1"/>
  <c r="M459" i="1"/>
  <c r="BA459" i="1" s="1"/>
  <c r="U459" i="1"/>
  <c r="W459" i="1"/>
  <c r="X459" i="1"/>
  <c r="AA459" i="1"/>
  <c r="AB459" i="1"/>
  <c r="AC459" i="1"/>
  <c r="AE459" i="1"/>
  <c r="AF459" i="1"/>
  <c r="AJ459" i="1"/>
  <c r="AK459" i="1"/>
  <c r="AS459" i="1"/>
  <c r="AY459" i="1"/>
  <c r="BE459" i="1"/>
  <c r="K460" i="1"/>
  <c r="AG460" i="1"/>
  <c r="M460" i="1"/>
  <c r="BA460" i="1" s="1"/>
  <c r="U460" i="1"/>
  <c r="W460" i="1"/>
  <c r="X460" i="1"/>
  <c r="AA460" i="1"/>
  <c r="AB460" i="1"/>
  <c r="AC460" i="1"/>
  <c r="AE460" i="1"/>
  <c r="AF460" i="1"/>
  <c r="AJ460" i="1"/>
  <c r="AR460" i="1"/>
  <c r="AK460" i="1"/>
  <c r="AS460" i="1" s="1"/>
  <c r="AY460" i="1"/>
  <c r="BE460" i="1"/>
  <c r="K461" i="1"/>
  <c r="AG461" i="1" s="1"/>
  <c r="M461" i="1"/>
  <c r="BA461" i="1"/>
  <c r="U461" i="1"/>
  <c r="W461" i="1"/>
  <c r="X461" i="1"/>
  <c r="AA461" i="1"/>
  <c r="AB461" i="1"/>
  <c r="AC461" i="1"/>
  <c r="AE461" i="1"/>
  <c r="AF461" i="1"/>
  <c r="AJ461" i="1"/>
  <c r="BC461" i="1" s="1"/>
  <c r="Y461" i="1" s="1"/>
  <c r="AK461" i="1"/>
  <c r="J461" i="1" s="1"/>
  <c r="AY461" i="1"/>
  <c r="BE461" i="1"/>
  <c r="K462" i="1"/>
  <c r="AG462" i="1"/>
  <c r="M462" i="1"/>
  <c r="BA462" i="1"/>
  <c r="U462" i="1"/>
  <c r="W462" i="1"/>
  <c r="X462" i="1"/>
  <c r="AA462" i="1"/>
  <c r="AB462" i="1"/>
  <c r="AC462" i="1"/>
  <c r="AE462" i="1"/>
  <c r="AF462" i="1"/>
  <c r="AJ462" i="1"/>
  <c r="AK462" i="1"/>
  <c r="AY462" i="1"/>
  <c r="BE462" i="1"/>
  <c r="K463" i="1"/>
  <c r="AG463" i="1"/>
  <c r="M463" i="1"/>
  <c r="BA463" i="1"/>
  <c r="U463" i="1"/>
  <c r="W463" i="1"/>
  <c r="X463" i="1"/>
  <c r="AA463" i="1"/>
  <c r="AB463" i="1"/>
  <c r="AC463" i="1"/>
  <c r="AE463" i="1"/>
  <c r="AF463" i="1"/>
  <c r="AJ463" i="1"/>
  <c r="AK463" i="1"/>
  <c r="AY463" i="1"/>
  <c r="BE463" i="1"/>
  <c r="K464" i="1"/>
  <c r="AG464" i="1"/>
  <c r="M464" i="1"/>
  <c r="BA464" i="1"/>
  <c r="U464" i="1"/>
  <c r="W464" i="1"/>
  <c r="X464" i="1"/>
  <c r="AA464" i="1"/>
  <c r="AB464" i="1"/>
  <c r="AC464" i="1"/>
  <c r="AE464" i="1"/>
  <c r="AF464" i="1"/>
  <c r="AJ464" i="1"/>
  <c r="AR464" i="1" s="1"/>
  <c r="AK464" i="1"/>
  <c r="BD464" i="1" s="1"/>
  <c r="Z464" i="1" s="1"/>
  <c r="AY464" i="1"/>
  <c r="BE464" i="1"/>
  <c r="K465" i="1"/>
  <c r="AG465" i="1"/>
  <c r="M465" i="1"/>
  <c r="BA465" i="1" s="1"/>
  <c r="U465" i="1"/>
  <c r="W465" i="1"/>
  <c r="X465" i="1"/>
  <c r="AA465" i="1"/>
  <c r="AB465" i="1"/>
  <c r="AC465" i="1"/>
  <c r="AE465" i="1"/>
  <c r="AF465" i="1"/>
  <c r="AJ465" i="1"/>
  <c r="AK465" i="1"/>
  <c r="J465" i="1"/>
  <c r="AY465" i="1"/>
  <c r="BE465" i="1"/>
  <c r="K466" i="1"/>
  <c r="AG466" i="1" s="1"/>
  <c r="M466" i="1"/>
  <c r="BA466" i="1" s="1"/>
  <c r="U466" i="1"/>
  <c r="W466" i="1"/>
  <c r="X466" i="1"/>
  <c r="AA466" i="1"/>
  <c r="AB466" i="1"/>
  <c r="AC466" i="1"/>
  <c r="AE466" i="1"/>
  <c r="AF466" i="1"/>
  <c r="AJ466" i="1"/>
  <c r="AR466" i="1"/>
  <c r="AK466" i="1"/>
  <c r="AY466" i="1"/>
  <c r="BE466" i="1"/>
  <c r="K467" i="1"/>
  <c r="AG467" i="1" s="1"/>
  <c r="M467" i="1"/>
  <c r="BA467" i="1"/>
  <c r="U467" i="1"/>
  <c r="W467" i="1"/>
  <c r="X467" i="1"/>
  <c r="AA467" i="1"/>
  <c r="AB467" i="1"/>
  <c r="AC467" i="1"/>
  <c r="AE467" i="1"/>
  <c r="AF467" i="1"/>
  <c r="AJ467" i="1"/>
  <c r="I467" i="1" s="1"/>
  <c r="AK467" i="1"/>
  <c r="J467" i="1"/>
  <c r="AY467" i="1"/>
  <c r="BE467" i="1"/>
  <c r="K468" i="1"/>
  <c r="AG468" i="1"/>
  <c r="M468" i="1"/>
  <c r="BA468" i="1" s="1"/>
  <c r="U468" i="1"/>
  <c r="W468" i="1"/>
  <c r="X468" i="1"/>
  <c r="AA468" i="1"/>
  <c r="AB468" i="1"/>
  <c r="AC468" i="1"/>
  <c r="AE468" i="1"/>
  <c r="AF468" i="1"/>
  <c r="AJ468" i="1"/>
  <c r="AR468" i="1"/>
  <c r="AK468" i="1"/>
  <c r="J468" i="1" s="1"/>
  <c r="AY468" i="1"/>
  <c r="BE468" i="1"/>
  <c r="K469" i="1"/>
  <c r="AG469" i="1" s="1"/>
  <c r="M469" i="1"/>
  <c r="BA469" i="1"/>
  <c r="U469" i="1"/>
  <c r="W469" i="1"/>
  <c r="X469" i="1"/>
  <c r="AA469" i="1"/>
  <c r="AB469" i="1"/>
  <c r="AC469" i="1"/>
  <c r="AE469" i="1"/>
  <c r="AF469" i="1"/>
  <c r="AJ469" i="1"/>
  <c r="BC469" i="1"/>
  <c r="Y469" i="1"/>
  <c r="AK469" i="1"/>
  <c r="J469" i="1"/>
  <c r="AY469" i="1"/>
  <c r="BE469" i="1"/>
  <c r="K470" i="1"/>
  <c r="AG470" i="1" s="1"/>
  <c r="M470" i="1"/>
  <c r="BA470" i="1"/>
  <c r="U470" i="1"/>
  <c r="W470" i="1"/>
  <c r="X470" i="1"/>
  <c r="AA470" i="1"/>
  <c r="AB470" i="1"/>
  <c r="AC470" i="1"/>
  <c r="AE470" i="1"/>
  <c r="AF470" i="1"/>
  <c r="AJ470" i="1"/>
  <c r="I470" i="1"/>
  <c r="AK470" i="1"/>
  <c r="AY470" i="1"/>
  <c r="BE470" i="1"/>
  <c r="K471" i="1"/>
  <c r="AG471" i="1" s="1"/>
  <c r="M471" i="1"/>
  <c r="BA471" i="1"/>
  <c r="U471" i="1"/>
  <c r="W471" i="1"/>
  <c r="X471" i="1"/>
  <c r="AA471" i="1"/>
  <c r="AB471" i="1"/>
  <c r="AC471" i="1"/>
  <c r="AE471" i="1"/>
  <c r="AF471" i="1"/>
  <c r="AJ471" i="1"/>
  <c r="BC471" i="1" s="1"/>
  <c r="Y471" i="1" s="1"/>
  <c r="AK471" i="1"/>
  <c r="BD471" i="1" s="1"/>
  <c r="Z471" i="1" s="1"/>
  <c r="AY471" i="1"/>
  <c r="BE471" i="1"/>
  <c r="K472" i="1"/>
  <c r="AG472" i="1" s="1"/>
  <c r="M472" i="1"/>
  <c r="BA472" i="1"/>
  <c r="U472" i="1"/>
  <c r="W472" i="1"/>
  <c r="X472" i="1"/>
  <c r="AA472" i="1"/>
  <c r="AB472" i="1"/>
  <c r="AC472" i="1"/>
  <c r="AE472" i="1"/>
  <c r="AF472" i="1"/>
  <c r="AJ472" i="1"/>
  <c r="AR472" i="1"/>
  <c r="AK472" i="1"/>
  <c r="AS472" i="1"/>
  <c r="AY472" i="1"/>
  <c r="BE472" i="1"/>
  <c r="K473" i="1"/>
  <c r="AG473" i="1"/>
  <c r="M473" i="1"/>
  <c r="BA473" i="1"/>
  <c r="U473" i="1"/>
  <c r="W473" i="1"/>
  <c r="X473" i="1"/>
  <c r="AA473" i="1"/>
  <c r="AB473" i="1"/>
  <c r="AC473" i="1"/>
  <c r="AE473" i="1"/>
  <c r="AF473" i="1"/>
  <c r="AJ473" i="1"/>
  <c r="BC473" i="1"/>
  <c r="Y473" i="1"/>
  <c r="AK473" i="1"/>
  <c r="AY473" i="1"/>
  <c r="BE473" i="1"/>
  <c r="K474" i="1"/>
  <c r="AG474" i="1"/>
  <c r="M474" i="1"/>
  <c r="U474" i="1"/>
  <c r="W474" i="1"/>
  <c r="X474" i="1"/>
  <c r="AA474" i="1"/>
  <c r="AB474" i="1"/>
  <c r="AC474" i="1"/>
  <c r="AE474" i="1"/>
  <c r="AF474" i="1"/>
  <c r="AJ474" i="1"/>
  <c r="AK474" i="1"/>
  <c r="BD474" i="1" s="1"/>
  <c r="Z474" i="1" s="1"/>
  <c r="AY474" i="1"/>
  <c r="BE474" i="1"/>
  <c r="K475" i="1"/>
  <c r="AG475" i="1" s="1"/>
  <c r="M475" i="1"/>
  <c r="BA475" i="1"/>
  <c r="U475" i="1"/>
  <c r="W475" i="1"/>
  <c r="X475" i="1"/>
  <c r="AA475" i="1"/>
  <c r="AB475" i="1"/>
  <c r="AC475" i="1"/>
  <c r="AE475" i="1"/>
  <c r="AF475" i="1"/>
  <c r="AJ475" i="1"/>
  <c r="BC475" i="1"/>
  <c r="Y475" i="1"/>
  <c r="AK475" i="1"/>
  <c r="AY475" i="1"/>
  <c r="BE475" i="1"/>
  <c r="K476" i="1"/>
  <c r="AG476" i="1"/>
  <c r="M476" i="1"/>
  <c r="BA476" i="1"/>
  <c r="U476" i="1"/>
  <c r="W476" i="1"/>
  <c r="X476" i="1"/>
  <c r="AA476" i="1"/>
  <c r="AB476" i="1"/>
  <c r="AC476" i="1"/>
  <c r="AE476" i="1"/>
  <c r="AF476" i="1"/>
  <c r="AJ476" i="1"/>
  <c r="I476" i="1" s="1"/>
  <c r="AK476" i="1"/>
  <c r="AY476" i="1"/>
  <c r="BE476" i="1"/>
  <c r="K477" i="1"/>
  <c r="AG477" i="1" s="1"/>
  <c r="M477" i="1"/>
  <c r="BA477" i="1"/>
  <c r="U477" i="1"/>
  <c r="W477" i="1"/>
  <c r="X477" i="1"/>
  <c r="AA477" i="1"/>
  <c r="AB477" i="1"/>
  <c r="AC477" i="1"/>
  <c r="AE477" i="1"/>
  <c r="AF477" i="1"/>
  <c r="AJ477" i="1"/>
  <c r="AR477" i="1"/>
  <c r="AK477" i="1"/>
  <c r="J477" i="1" s="1"/>
  <c r="AY477" i="1"/>
  <c r="BE477" i="1"/>
  <c r="K478" i="1"/>
  <c r="AG478" i="1"/>
  <c r="M478" i="1"/>
  <c r="BA478" i="1"/>
  <c r="U478" i="1"/>
  <c r="W478" i="1"/>
  <c r="X478" i="1"/>
  <c r="AA478" i="1"/>
  <c r="AB478" i="1"/>
  <c r="AC478" i="1"/>
  <c r="AE478" i="1"/>
  <c r="AF478" i="1"/>
  <c r="AJ478" i="1"/>
  <c r="AR478" i="1" s="1"/>
  <c r="AK478" i="1"/>
  <c r="AS478" i="1" s="1"/>
  <c r="AY478" i="1"/>
  <c r="BE478" i="1"/>
  <c r="K479" i="1"/>
  <c r="AG479" i="1"/>
  <c r="M479" i="1"/>
  <c r="BA479" i="1" s="1"/>
  <c r="U479" i="1"/>
  <c r="W479" i="1"/>
  <c r="X479" i="1"/>
  <c r="AA479" i="1"/>
  <c r="AB479" i="1"/>
  <c r="AC479" i="1"/>
  <c r="AE479" i="1"/>
  <c r="AF479" i="1"/>
  <c r="AJ479" i="1"/>
  <c r="AK479" i="1"/>
  <c r="AY479" i="1"/>
  <c r="BE479" i="1"/>
  <c r="K480" i="1"/>
  <c r="AG480" i="1"/>
  <c r="M480" i="1"/>
  <c r="BA480" i="1" s="1"/>
  <c r="U480" i="1"/>
  <c r="W480" i="1"/>
  <c r="X480" i="1"/>
  <c r="AA480" i="1"/>
  <c r="AB480" i="1"/>
  <c r="AC480" i="1"/>
  <c r="AE480" i="1"/>
  <c r="AF480" i="1"/>
  <c r="AJ480" i="1"/>
  <c r="AK480" i="1"/>
  <c r="AY480" i="1"/>
  <c r="BE480" i="1"/>
  <c r="K481" i="1"/>
  <c r="AG481" i="1"/>
  <c r="M481" i="1"/>
  <c r="BA481" i="1"/>
  <c r="U481" i="1"/>
  <c r="W481" i="1"/>
  <c r="X481" i="1"/>
  <c r="AA481" i="1"/>
  <c r="AB481" i="1"/>
  <c r="AC481" i="1"/>
  <c r="AE481" i="1"/>
  <c r="AF481" i="1"/>
  <c r="AJ481" i="1"/>
  <c r="BC481" i="1" s="1"/>
  <c r="Y481" i="1" s="1"/>
  <c r="AK481" i="1"/>
  <c r="AY481" i="1"/>
  <c r="BE481" i="1"/>
  <c r="K482" i="1"/>
  <c r="AG482" i="1"/>
  <c r="M482" i="1"/>
  <c r="BA482" i="1" s="1"/>
  <c r="U482" i="1"/>
  <c r="W482" i="1"/>
  <c r="X482" i="1"/>
  <c r="AA482" i="1"/>
  <c r="AB482" i="1"/>
  <c r="AC482" i="1"/>
  <c r="AE482" i="1"/>
  <c r="AF482" i="1"/>
  <c r="AJ482" i="1"/>
  <c r="BC482" i="1"/>
  <c r="Y482" i="1" s="1"/>
  <c r="AK482" i="1"/>
  <c r="BD482" i="1" s="1"/>
  <c r="Z482" i="1" s="1"/>
  <c r="AY482" i="1"/>
  <c r="BE482" i="1"/>
  <c r="K483" i="1"/>
  <c r="AG483" i="1"/>
  <c r="M483" i="1"/>
  <c r="BA483" i="1"/>
  <c r="U483" i="1"/>
  <c r="W483" i="1"/>
  <c r="X483" i="1"/>
  <c r="AA483" i="1"/>
  <c r="AB483" i="1"/>
  <c r="AC483" i="1"/>
  <c r="AE483" i="1"/>
  <c r="AF483" i="1"/>
  <c r="AJ483" i="1"/>
  <c r="BC483" i="1"/>
  <c r="Y483" i="1"/>
  <c r="AK483" i="1"/>
  <c r="AS483" i="1"/>
  <c r="AY483" i="1"/>
  <c r="BE483" i="1"/>
  <c r="K484" i="1"/>
  <c r="AG484" i="1" s="1"/>
  <c r="M484" i="1"/>
  <c r="BA484" i="1"/>
  <c r="U484" i="1"/>
  <c r="W484" i="1"/>
  <c r="X484" i="1"/>
  <c r="AA484" i="1"/>
  <c r="AB484" i="1"/>
  <c r="AC484" i="1"/>
  <c r="AE484" i="1"/>
  <c r="AF484" i="1"/>
  <c r="AJ484" i="1"/>
  <c r="AR484" i="1"/>
  <c r="AK484" i="1"/>
  <c r="BD484" i="1" s="1"/>
  <c r="Z484" i="1" s="1"/>
  <c r="AY484" i="1"/>
  <c r="BE484" i="1"/>
  <c r="K485" i="1"/>
  <c r="AG485" i="1" s="1"/>
  <c r="M485" i="1"/>
  <c r="BA485" i="1"/>
  <c r="U485" i="1"/>
  <c r="W485" i="1"/>
  <c r="X485" i="1"/>
  <c r="AA485" i="1"/>
  <c r="AB485" i="1"/>
  <c r="AC485" i="1"/>
  <c r="AE485" i="1"/>
  <c r="AF485" i="1"/>
  <c r="AJ485" i="1"/>
  <c r="I485" i="1"/>
  <c r="AK485" i="1"/>
  <c r="AS485" i="1"/>
  <c r="AY485" i="1"/>
  <c r="BE485" i="1"/>
  <c r="K486" i="1"/>
  <c r="AG486" i="1"/>
  <c r="M486" i="1"/>
  <c r="BA486" i="1"/>
  <c r="U486" i="1"/>
  <c r="W486" i="1"/>
  <c r="X486" i="1"/>
  <c r="AA486" i="1"/>
  <c r="AB486" i="1"/>
  <c r="AC486" i="1"/>
  <c r="AE486" i="1"/>
  <c r="AF486" i="1"/>
  <c r="AJ486" i="1"/>
  <c r="BC486" i="1"/>
  <c r="Y486" i="1"/>
  <c r="AK486" i="1"/>
  <c r="AY486" i="1"/>
  <c r="BE486" i="1"/>
  <c r="K487" i="1"/>
  <c r="AG487" i="1"/>
  <c r="M487" i="1"/>
  <c r="BA487" i="1"/>
  <c r="U487" i="1"/>
  <c r="W487" i="1"/>
  <c r="X487" i="1"/>
  <c r="AA487" i="1"/>
  <c r="AB487" i="1"/>
  <c r="AC487" i="1"/>
  <c r="AE487" i="1"/>
  <c r="AF487" i="1"/>
  <c r="AJ487" i="1"/>
  <c r="I487" i="1" s="1"/>
  <c r="AK487" i="1"/>
  <c r="AS487" i="1"/>
  <c r="AY487" i="1"/>
  <c r="BE487" i="1"/>
  <c r="K488" i="1"/>
  <c r="AG488" i="1"/>
  <c r="M488" i="1"/>
  <c r="BA488" i="1" s="1"/>
  <c r="U488" i="1"/>
  <c r="W488" i="1"/>
  <c r="X488" i="1"/>
  <c r="AA488" i="1"/>
  <c r="AB488" i="1"/>
  <c r="AC488" i="1"/>
  <c r="AE488" i="1"/>
  <c r="AF488" i="1"/>
  <c r="AJ488" i="1"/>
  <c r="AK488" i="1"/>
  <c r="AY488" i="1"/>
  <c r="BE488" i="1"/>
  <c r="K489" i="1"/>
  <c r="AG489" i="1"/>
  <c r="M489" i="1"/>
  <c r="BA489" i="1" s="1"/>
  <c r="U489" i="1"/>
  <c r="W489" i="1"/>
  <c r="X489" i="1"/>
  <c r="AA489" i="1"/>
  <c r="AB489" i="1"/>
  <c r="AC489" i="1"/>
  <c r="AE489" i="1"/>
  <c r="AF489" i="1"/>
  <c r="AJ489" i="1"/>
  <c r="I489" i="1"/>
  <c r="AK489" i="1"/>
  <c r="J489" i="1" s="1"/>
  <c r="AY489" i="1"/>
  <c r="BE489" i="1"/>
  <c r="K490" i="1"/>
  <c r="AG490" i="1" s="1"/>
  <c r="M490" i="1"/>
  <c r="BA490" i="1"/>
  <c r="U490" i="1"/>
  <c r="W490" i="1"/>
  <c r="X490" i="1"/>
  <c r="AA490" i="1"/>
  <c r="AB490" i="1"/>
  <c r="AC490" i="1"/>
  <c r="AE490" i="1"/>
  <c r="AF490" i="1"/>
  <c r="AJ490" i="1"/>
  <c r="AR490" i="1"/>
  <c r="AK490" i="1"/>
  <c r="BD490" i="1"/>
  <c r="Z490" i="1"/>
  <c r="AY490" i="1"/>
  <c r="BE490" i="1"/>
  <c r="K491" i="1"/>
  <c r="AG491" i="1" s="1"/>
  <c r="M491" i="1"/>
  <c r="BA491" i="1" s="1"/>
  <c r="U491" i="1"/>
  <c r="W491" i="1"/>
  <c r="X491" i="1"/>
  <c r="AA491" i="1"/>
  <c r="AB491" i="1"/>
  <c r="AC491" i="1"/>
  <c r="AE491" i="1"/>
  <c r="AF491" i="1"/>
  <c r="AJ491" i="1"/>
  <c r="I491" i="1"/>
  <c r="AK491" i="1"/>
  <c r="AS491" i="1" s="1"/>
  <c r="AY491" i="1"/>
  <c r="BE491" i="1"/>
  <c r="K492" i="1"/>
  <c r="AG492" i="1"/>
  <c r="M492" i="1"/>
  <c r="BA492" i="1"/>
  <c r="U492" i="1"/>
  <c r="W492" i="1"/>
  <c r="X492" i="1"/>
  <c r="AA492" i="1"/>
  <c r="AB492" i="1"/>
  <c r="AC492" i="1"/>
  <c r="AE492" i="1"/>
  <c r="AF492" i="1"/>
  <c r="AJ492" i="1"/>
  <c r="BC492" i="1" s="1"/>
  <c r="Y492" i="1" s="1"/>
  <c r="AK492" i="1"/>
  <c r="AY492" i="1"/>
  <c r="BE492" i="1"/>
  <c r="K493" i="1"/>
  <c r="AG493" i="1"/>
  <c r="M493" i="1"/>
  <c r="BA493" i="1" s="1"/>
  <c r="U493" i="1"/>
  <c r="W493" i="1"/>
  <c r="X493" i="1"/>
  <c r="AA493" i="1"/>
  <c r="AB493" i="1"/>
  <c r="AC493" i="1"/>
  <c r="AE493" i="1"/>
  <c r="AF493" i="1"/>
  <c r="AJ493" i="1"/>
  <c r="AK493" i="1"/>
  <c r="BD493" i="1" s="1"/>
  <c r="Z493" i="1" s="1"/>
  <c r="AY493" i="1"/>
  <c r="BE493" i="1"/>
  <c r="K494" i="1"/>
  <c r="AG494" i="1"/>
  <c r="M494" i="1"/>
  <c r="BA494" i="1" s="1"/>
  <c r="U494" i="1"/>
  <c r="W494" i="1"/>
  <c r="X494" i="1"/>
  <c r="AA494" i="1"/>
  <c r="AB494" i="1"/>
  <c r="AC494" i="1"/>
  <c r="AE494" i="1"/>
  <c r="AF494" i="1"/>
  <c r="AJ494" i="1"/>
  <c r="AR494" i="1"/>
  <c r="AK494" i="1"/>
  <c r="AS494" i="1"/>
  <c r="AY494" i="1"/>
  <c r="BE494" i="1"/>
  <c r="K495" i="1"/>
  <c r="AG495" i="1" s="1"/>
  <c r="M495" i="1"/>
  <c r="BA495" i="1" s="1"/>
  <c r="U495" i="1"/>
  <c r="W495" i="1"/>
  <c r="X495" i="1"/>
  <c r="AA495" i="1"/>
  <c r="AB495" i="1"/>
  <c r="AC495" i="1"/>
  <c r="AE495" i="1"/>
  <c r="AF495" i="1"/>
  <c r="AJ495" i="1"/>
  <c r="I495" i="1"/>
  <c r="AK495" i="1"/>
  <c r="AS495" i="1" s="1"/>
  <c r="AY495" i="1"/>
  <c r="BE495" i="1"/>
  <c r="K496" i="1"/>
  <c r="AG496" i="1"/>
  <c r="M496" i="1"/>
  <c r="U496" i="1"/>
  <c r="W496" i="1"/>
  <c r="X496" i="1"/>
  <c r="AA496" i="1"/>
  <c r="AB496" i="1"/>
  <c r="AC496" i="1"/>
  <c r="AE496" i="1"/>
  <c r="AF496" i="1"/>
  <c r="AJ496" i="1"/>
  <c r="AR496" i="1" s="1"/>
  <c r="AK496" i="1"/>
  <c r="J496" i="1"/>
  <c r="AY496" i="1"/>
  <c r="BA496" i="1"/>
  <c r="BE496" i="1"/>
  <c r="K497" i="1"/>
  <c r="AG497" i="1"/>
  <c r="M497" i="1"/>
  <c r="BA497" i="1" s="1"/>
  <c r="U497" i="1"/>
  <c r="W497" i="1"/>
  <c r="X497" i="1"/>
  <c r="AA497" i="1"/>
  <c r="AB497" i="1"/>
  <c r="AC497" i="1"/>
  <c r="AE497" i="1"/>
  <c r="AF497" i="1"/>
  <c r="AJ497" i="1"/>
  <c r="AK497" i="1"/>
  <c r="AY497" i="1"/>
  <c r="BE497" i="1"/>
  <c r="K498" i="1"/>
  <c r="M498" i="1"/>
  <c r="BA498" i="1" s="1"/>
  <c r="U498" i="1"/>
  <c r="W498" i="1"/>
  <c r="X498" i="1"/>
  <c r="AA498" i="1"/>
  <c r="AB498" i="1"/>
  <c r="AC498" i="1"/>
  <c r="AE498" i="1"/>
  <c r="AF498" i="1"/>
  <c r="AJ498" i="1"/>
  <c r="AK498" i="1"/>
  <c r="BD498" i="1" s="1"/>
  <c r="Z498" i="1" s="1"/>
  <c r="AY498" i="1"/>
  <c r="BE498" i="1"/>
  <c r="K499" i="1"/>
  <c r="AG499" i="1" s="1"/>
  <c r="M499" i="1"/>
  <c r="BA499" i="1"/>
  <c r="U499" i="1"/>
  <c r="W499" i="1"/>
  <c r="X499" i="1"/>
  <c r="AA499" i="1"/>
  <c r="AB499" i="1"/>
  <c r="AC499" i="1"/>
  <c r="AE499" i="1"/>
  <c r="AF499" i="1"/>
  <c r="AJ499" i="1"/>
  <c r="AK499" i="1"/>
  <c r="AY499" i="1"/>
  <c r="BE499" i="1"/>
  <c r="K500" i="1"/>
  <c r="AG500" i="1" s="1"/>
  <c r="M500" i="1"/>
  <c r="BA500" i="1"/>
  <c r="U500" i="1"/>
  <c r="W500" i="1"/>
  <c r="X500" i="1"/>
  <c r="AA500" i="1"/>
  <c r="AB500" i="1"/>
  <c r="AC500" i="1"/>
  <c r="AE500" i="1"/>
  <c r="AF500" i="1"/>
  <c r="AJ500" i="1"/>
  <c r="BC500" i="1"/>
  <c r="Y500" i="1"/>
  <c r="AK500" i="1"/>
  <c r="BD500" i="1"/>
  <c r="Z500" i="1" s="1"/>
  <c r="AY500" i="1"/>
  <c r="BE500" i="1"/>
  <c r="K501" i="1"/>
  <c r="AG501" i="1"/>
  <c r="M501" i="1"/>
  <c r="BA501" i="1" s="1"/>
  <c r="U501" i="1"/>
  <c r="W501" i="1"/>
  <c r="X501" i="1"/>
  <c r="AA501" i="1"/>
  <c r="AB501" i="1"/>
  <c r="AC501" i="1"/>
  <c r="AE501" i="1"/>
  <c r="AF501" i="1"/>
  <c r="AJ501" i="1"/>
  <c r="I501" i="1" s="1"/>
  <c r="AK501" i="1"/>
  <c r="AS501" i="1"/>
  <c r="AY501" i="1"/>
  <c r="BE501" i="1"/>
  <c r="K502" i="1"/>
  <c r="AG502" i="1" s="1"/>
  <c r="M502" i="1"/>
  <c r="BA502" i="1" s="1"/>
  <c r="U502" i="1"/>
  <c r="W502" i="1"/>
  <c r="X502" i="1"/>
  <c r="AA502" i="1"/>
  <c r="AB502" i="1"/>
  <c r="AC502" i="1"/>
  <c r="AE502" i="1"/>
  <c r="AF502" i="1"/>
  <c r="AJ502" i="1"/>
  <c r="I502" i="1"/>
  <c r="AK502" i="1"/>
  <c r="J502" i="1"/>
  <c r="AY502" i="1"/>
  <c r="BE502" i="1"/>
  <c r="K503" i="1"/>
  <c r="AG503" i="1" s="1"/>
  <c r="M503" i="1"/>
  <c r="BA503" i="1" s="1"/>
  <c r="U503" i="1"/>
  <c r="W503" i="1"/>
  <c r="X503" i="1"/>
  <c r="AA503" i="1"/>
  <c r="AB503" i="1"/>
  <c r="AC503" i="1"/>
  <c r="AE503" i="1"/>
  <c r="AF503" i="1"/>
  <c r="AJ503" i="1"/>
  <c r="I503" i="1"/>
  <c r="AK503" i="1"/>
  <c r="AY503" i="1"/>
  <c r="BE503" i="1"/>
  <c r="K504" i="1"/>
  <c r="AG504" i="1"/>
  <c r="M504" i="1"/>
  <c r="BA504" i="1" s="1"/>
  <c r="U504" i="1"/>
  <c r="W504" i="1"/>
  <c r="X504" i="1"/>
  <c r="AA504" i="1"/>
  <c r="AB504" i="1"/>
  <c r="AC504" i="1"/>
  <c r="AE504" i="1"/>
  <c r="AF504" i="1"/>
  <c r="AJ504" i="1"/>
  <c r="BC504" i="1" s="1"/>
  <c r="Y504" i="1" s="1"/>
  <c r="AK504" i="1"/>
  <c r="J504" i="1" s="1"/>
  <c r="AY504" i="1"/>
  <c r="BE504" i="1"/>
  <c r="K505" i="1"/>
  <c r="AG505" i="1"/>
  <c r="M505" i="1"/>
  <c r="BA505" i="1" s="1"/>
  <c r="U505" i="1"/>
  <c r="W505" i="1"/>
  <c r="X505" i="1"/>
  <c r="AA505" i="1"/>
  <c r="AB505" i="1"/>
  <c r="AC505" i="1"/>
  <c r="AE505" i="1"/>
  <c r="AF505" i="1"/>
  <c r="AJ505" i="1"/>
  <c r="BC505" i="1" s="1"/>
  <c r="Y505" i="1" s="1"/>
  <c r="AK505" i="1"/>
  <c r="J505" i="1" s="1"/>
  <c r="AY505" i="1"/>
  <c r="BE505" i="1"/>
  <c r="K506" i="1"/>
  <c r="AG506" i="1"/>
  <c r="M506" i="1"/>
  <c r="BA506" i="1"/>
  <c r="U506" i="1"/>
  <c r="W506" i="1"/>
  <c r="X506" i="1"/>
  <c r="AA506" i="1"/>
  <c r="AB506" i="1"/>
  <c r="AC506" i="1"/>
  <c r="AE506" i="1"/>
  <c r="AF506" i="1"/>
  <c r="AJ506" i="1"/>
  <c r="AR506" i="1" s="1"/>
  <c r="AK506" i="1"/>
  <c r="AS506" i="1" s="1"/>
  <c r="AY506" i="1"/>
  <c r="BE506" i="1"/>
  <c r="K507" i="1"/>
  <c r="AG507" i="1"/>
  <c r="M507" i="1"/>
  <c r="BA507" i="1" s="1"/>
  <c r="U507" i="1"/>
  <c r="W507" i="1"/>
  <c r="X507" i="1"/>
  <c r="AA507" i="1"/>
  <c r="AB507" i="1"/>
  <c r="AC507" i="1"/>
  <c r="AE507" i="1"/>
  <c r="AF507" i="1"/>
  <c r="AJ507" i="1"/>
  <c r="I507" i="1" s="1"/>
  <c r="AK507" i="1"/>
  <c r="AS507" i="1"/>
  <c r="AY507" i="1"/>
  <c r="BE507" i="1"/>
  <c r="K508" i="1"/>
  <c r="AG508" i="1" s="1"/>
  <c r="M508" i="1"/>
  <c r="BA508" i="1" s="1"/>
  <c r="U508" i="1"/>
  <c r="W508" i="1"/>
  <c r="X508" i="1"/>
  <c r="AA508" i="1"/>
  <c r="AB508" i="1"/>
  <c r="AC508" i="1"/>
  <c r="AE508" i="1"/>
  <c r="AF508" i="1"/>
  <c r="AJ508" i="1"/>
  <c r="AK508" i="1"/>
  <c r="J508" i="1" s="1"/>
  <c r="AY508" i="1"/>
  <c r="BE508" i="1"/>
  <c r="K509" i="1"/>
  <c r="AG509" i="1"/>
  <c r="M509" i="1"/>
  <c r="BA509" i="1" s="1"/>
  <c r="U509" i="1"/>
  <c r="W509" i="1"/>
  <c r="X509" i="1"/>
  <c r="AA509" i="1"/>
  <c r="AB509" i="1"/>
  <c r="AC509" i="1"/>
  <c r="AE509" i="1"/>
  <c r="AF509" i="1"/>
  <c r="AJ509" i="1"/>
  <c r="I509" i="1" s="1"/>
  <c r="AK509" i="1"/>
  <c r="J509" i="1" s="1"/>
  <c r="AY509" i="1"/>
  <c r="BE509" i="1"/>
  <c r="K510" i="1"/>
  <c r="AG510" i="1" s="1"/>
  <c r="M510" i="1"/>
  <c r="BA510" i="1" s="1"/>
  <c r="U510" i="1"/>
  <c r="W510" i="1"/>
  <c r="X510" i="1"/>
  <c r="AA510" i="1"/>
  <c r="AB510" i="1"/>
  <c r="AC510" i="1"/>
  <c r="AE510" i="1"/>
  <c r="AF510" i="1"/>
  <c r="AJ510" i="1"/>
  <c r="BC510" i="1" s="1"/>
  <c r="Y510" i="1" s="1"/>
  <c r="AK510" i="1"/>
  <c r="J510" i="1" s="1"/>
  <c r="AY510" i="1"/>
  <c r="BE510" i="1"/>
  <c r="K511" i="1"/>
  <c r="AG511" i="1"/>
  <c r="M511" i="1"/>
  <c r="BA511" i="1" s="1"/>
  <c r="U511" i="1"/>
  <c r="W511" i="1"/>
  <c r="X511" i="1"/>
  <c r="AA511" i="1"/>
  <c r="AB511" i="1"/>
  <c r="AC511" i="1"/>
  <c r="AE511" i="1"/>
  <c r="AF511" i="1"/>
  <c r="AJ511" i="1"/>
  <c r="AR511" i="1" s="1"/>
  <c r="AK511" i="1"/>
  <c r="AY511" i="1"/>
  <c r="BE511" i="1"/>
  <c r="K512" i="1"/>
  <c r="AG512" i="1" s="1"/>
  <c r="M512" i="1"/>
  <c r="BA512" i="1"/>
  <c r="U512" i="1"/>
  <c r="W512" i="1"/>
  <c r="X512" i="1"/>
  <c r="AA512" i="1"/>
  <c r="AB512" i="1"/>
  <c r="AC512" i="1"/>
  <c r="AE512" i="1"/>
  <c r="AF512" i="1"/>
  <c r="AJ512" i="1"/>
  <c r="AR512" i="1" s="1"/>
  <c r="AK512" i="1"/>
  <c r="J512" i="1" s="1"/>
  <c r="AY512" i="1"/>
  <c r="BE512" i="1"/>
  <c r="K513" i="1"/>
  <c r="AG513" i="1"/>
  <c r="M513" i="1"/>
  <c r="BA513" i="1" s="1"/>
  <c r="U513" i="1"/>
  <c r="W513" i="1"/>
  <c r="X513" i="1"/>
  <c r="AA513" i="1"/>
  <c r="AB513" i="1"/>
  <c r="AC513" i="1"/>
  <c r="AE513" i="1"/>
  <c r="AF513" i="1"/>
  <c r="AJ513" i="1"/>
  <c r="BC513" i="1" s="1"/>
  <c r="Y513" i="1" s="1"/>
  <c r="AK513" i="1"/>
  <c r="AY513" i="1"/>
  <c r="BE513" i="1"/>
  <c r="K514" i="1"/>
  <c r="AG514" i="1" s="1"/>
  <c r="M514" i="1"/>
  <c r="BA514" i="1" s="1"/>
  <c r="U514" i="1"/>
  <c r="W514" i="1"/>
  <c r="X514" i="1"/>
  <c r="AA514" i="1"/>
  <c r="AB514" i="1"/>
  <c r="AC514" i="1"/>
  <c r="AE514" i="1"/>
  <c r="AF514" i="1"/>
  <c r="AJ514" i="1"/>
  <c r="I514" i="1" s="1"/>
  <c r="AK514" i="1"/>
  <c r="BD514" i="1"/>
  <c r="Z514" i="1" s="1"/>
  <c r="AY514" i="1"/>
  <c r="BE514" i="1"/>
  <c r="K515" i="1"/>
  <c r="AG515" i="1"/>
  <c r="M515" i="1"/>
  <c r="BA515" i="1" s="1"/>
  <c r="U515" i="1"/>
  <c r="W515" i="1"/>
  <c r="X515" i="1"/>
  <c r="AA515" i="1"/>
  <c r="AB515" i="1"/>
  <c r="AC515" i="1"/>
  <c r="AE515" i="1"/>
  <c r="AF515" i="1"/>
  <c r="AJ515" i="1"/>
  <c r="I515" i="1" s="1"/>
  <c r="AK515" i="1"/>
  <c r="AY515" i="1"/>
  <c r="BE515" i="1"/>
  <c r="K516" i="1"/>
  <c r="AG516" i="1" s="1"/>
  <c r="M516" i="1"/>
  <c r="U516" i="1"/>
  <c r="W516" i="1"/>
  <c r="X516" i="1"/>
  <c r="AA516" i="1"/>
  <c r="AB516" i="1"/>
  <c r="AC516" i="1"/>
  <c r="AE516" i="1"/>
  <c r="AF516" i="1"/>
  <c r="AJ516" i="1"/>
  <c r="BC516" i="1" s="1"/>
  <c r="Y516" i="1" s="1"/>
  <c r="AK516" i="1"/>
  <c r="J516" i="1" s="1"/>
  <c r="AY516" i="1"/>
  <c r="BA516" i="1"/>
  <c r="BE516" i="1"/>
  <c r="K517" i="1"/>
  <c r="AG517" i="1" s="1"/>
  <c r="M517" i="1"/>
  <c r="BA517" i="1"/>
  <c r="U517" i="1"/>
  <c r="W517" i="1"/>
  <c r="X517" i="1"/>
  <c r="AA517" i="1"/>
  <c r="AB517" i="1"/>
  <c r="AC517" i="1"/>
  <c r="AE517" i="1"/>
  <c r="AF517" i="1"/>
  <c r="AJ517" i="1"/>
  <c r="AR517" i="1"/>
  <c r="AK517" i="1"/>
  <c r="AY517" i="1"/>
  <c r="BE517" i="1"/>
  <c r="K518" i="1"/>
  <c r="AG518" i="1" s="1"/>
  <c r="M518" i="1"/>
  <c r="BA518" i="1" s="1"/>
  <c r="U518" i="1"/>
  <c r="W518" i="1"/>
  <c r="X518" i="1"/>
  <c r="AA518" i="1"/>
  <c r="AB518" i="1"/>
  <c r="AC518" i="1"/>
  <c r="AE518" i="1"/>
  <c r="AF518" i="1"/>
  <c r="AJ518" i="1"/>
  <c r="BC518" i="1" s="1"/>
  <c r="Y518" i="1" s="1"/>
  <c r="AK518" i="1"/>
  <c r="J518" i="1" s="1"/>
  <c r="AY518" i="1"/>
  <c r="BE518" i="1"/>
  <c r="K519" i="1"/>
  <c r="AG519" i="1"/>
  <c r="M519" i="1"/>
  <c r="BA519" i="1" s="1"/>
  <c r="U519" i="1"/>
  <c r="W519" i="1"/>
  <c r="X519" i="1"/>
  <c r="AA519" i="1"/>
  <c r="AB519" i="1"/>
  <c r="AC519" i="1"/>
  <c r="AE519" i="1"/>
  <c r="AF519" i="1"/>
  <c r="AJ519" i="1"/>
  <c r="AK519" i="1"/>
  <c r="AY519" i="1"/>
  <c r="BE519" i="1"/>
  <c r="K520" i="1"/>
  <c r="AG520" i="1"/>
  <c r="M520" i="1"/>
  <c r="BA520" i="1" s="1"/>
  <c r="U520" i="1"/>
  <c r="W520" i="1"/>
  <c r="X520" i="1"/>
  <c r="AA520" i="1"/>
  <c r="AB520" i="1"/>
  <c r="AC520" i="1"/>
  <c r="AE520" i="1"/>
  <c r="AF520" i="1"/>
  <c r="AJ520" i="1"/>
  <c r="AR520" i="1" s="1"/>
  <c r="AK520" i="1"/>
  <c r="BD520" i="1"/>
  <c r="Z520" i="1" s="1"/>
  <c r="AY520" i="1"/>
  <c r="BE520" i="1"/>
  <c r="K521" i="1"/>
  <c r="AG521" i="1"/>
  <c r="M521" i="1"/>
  <c r="BA521" i="1" s="1"/>
  <c r="U521" i="1"/>
  <c r="W521" i="1"/>
  <c r="X521" i="1"/>
  <c r="AA521" i="1"/>
  <c r="AB521" i="1"/>
  <c r="AC521" i="1"/>
  <c r="AE521" i="1"/>
  <c r="AF521" i="1"/>
  <c r="AJ521" i="1"/>
  <c r="I521" i="1" s="1"/>
  <c r="AK521" i="1"/>
  <c r="AS521" i="1" s="1"/>
  <c r="AY521" i="1"/>
  <c r="BE521" i="1"/>
  <c r="K522" i="1"/>
  <c r="AG522" i="1" s="1"/>
  <c r="M522" i="1"/>
  <c r="BA522" i="1" s="1"/>
  <c r="U522" i="1"/>
  <c r="W522" i="1"/>
  <c r="X522" i="1"/>
  <c r="AA522" i="1"/>
  <c r="AB522" i="1"/>
  <c r="AC522" i="1"/>
  <c r="AE522" i="1"/>
  <c r="AF522" i="1"/>
  <c r="AJ522" i="1"/>
  <c r="AK522" i="1"/>
  <c r="J522" i="1" s="1"/>
  <c r="AY522" i="1"/>
  <c r="BE522" i="1"/>
  <c r="K523" i="1"/>
  <c r="AG523" i="1"/>
  <c r="M523" i="1"/>
  <c r="BA523" i="1"/>
  <c r="U523" i="1"/>
  <c r="W523" i="1"/>
  <c r="X523" i="1"/>
  <c r="AA523" i="1"/>
  <c r="AB523" i="1"/>
  <c r="AC523" i="1"/>
  <c r="AE523" i="1"/>
  <c r="AF523" i="1"/>
  <c r="AJ523" i="1"/>
  <c r="I523" i="1" s="1"/>
  <c r="AK523" i="1"/>
  <c r="J523" i="1" s="1"/>
  <c r="AY523" i="1"/>
  <c r="BE523" i="1"/>
  <c r="K524" i="1"/>
  <c r="AG524" i="1"/>
  <c r="M524" i="1"/>
  <c r="BA524" i="1" s="1"/>
  <c r="U524" i="1"/>
  <c r="W524" i="1"/>
  <c r="X524" i="1"/>
  <c r="AA524" i="1"/>
  <c r="AB524" i="1"/>
  <c r="AC524" i="1"/>
  <c r="AE524" i="1"/>
  <c r="AF524" i="1"/>
  <c r="AJ524" i="1"/>
  <c r="AR524" i="1" s="1"/>
  <c r="AK524" i="1"/>
  <c r="BD524" i="1"/>
  <c r="Z524" i="1" s="1"/>
  <c r="AY524" i="1"/>
  <c r="BE524" i="1"/>
  <c r="K525" i="1"/>
  <c r="AG525" i="1"/>
  <c r="M525" i="1"/>
  <c r="BA525" i="1" s="1"/>
  <c r="U525" i="1"/>
  <c r="W525" i="1"/>
  <c r="X525" i="1"/>
  <c r="AA525" i="1"/>
  <c r="AB525" i="1"/>
  <c r="AC525" i="1"/>
  <c r="AE525" i="1"/>
  <c r="AF525" i="1"/>
  <c r="AJ525" i="1"/>
  <c r="I525" i="1" s="1"/>
  <c r="AK525" i="1"/>
  <c r="AY525" i="1"/>
  <c r="BE525" i="1"/>
  <c r="K526" i="1"/>
  <c r="AG526" i="1" s="1"/>
  <c r="M526" i="1"/>
  <c r="BA526" i="1"/>
  <c r="U526" i="1"/>
  <c r="W526" i="1"/>
  <c r="X526" i="1"/>
  <c r="AA526" i="1"/>
  <c r="AB526" i="1"/>
  <c r="AC526" i="1"/>
  <c r="AE526" i="1"/>
  <c r="AF526" i="1"/>
  <c r="AJ526" i="1"/>
  <c r="BC526" i="1"/>
  <c r="Y526" i="1" s="1"/>
  <c r="AK526" i="1"/>
  <c r="J526" i="1"/>
  <c r="AY526" i="1"/>
  <c r="BE526" i="1"/>
  <c r="K527" i="1"/>
  <c r="AG527" i="1" s="1"/>
  <c r="M527" i="1"/>
  <c r="BA527" i="1" s="1"/>
  <c r="U527" i="1"/>
  <c r="W527" i="1"/>
  <c r="X527" i="1"/>
  <c r="AA527" i="1"/>
  <c r="AB527" i="1"/>
  <c r="AC527" i="1"/>
  <c r="AE527" i="1"/>
  <c r="AF527" i="1"/>
  <c r="AJ527" i="1"/>
  <c r="I527" i="1"/>
  <c r="AK527" i="1"/>
  <c r="J527" i="1" s="1"/>
  <c r="AY527" i="1"/>
  <c r="BE527" i="1"/>
  <c r="K528" i="1"/>
  <c r="AG528" i="1" s="1"/>
  <c r="M528" i="1"/>
  <c r="BA528" i="1"/>
  <c r="U528" i="1"/>
  <c r="W528" i="1"/>
  <c r="X528" i="1"/>
  <c r="AA528" i="1"/>
  <c r="AB528" i="1"/>
  <c r="AC528" i="1"/>
  <c r="AE528" i="1"/>
  <c r="AF528" i="1"/>
  <c r="AJ528" i="1"/>
  <c r="AK528" i="1"/>
  <c r="AY528" i="1"/>
  <c r="BE528" i="1"/>
  <c r="K529" i="1"/>
  <c r="AG529" i="1" s="1"/>
  <c r="M529" i="1"/>
  <c r="BA529" i="1"/>
  <c r="U529" i="1"/>
  <c r="W529" i="1"/>
  <c r="X529" i="1"/>
  <c r="AA529" i="1"/>
  <c r="AB529" i="1"/>
  <c r="AC529" i="1"/>
  <c r="AE529" i="1"/>
  <c r="AF529" i="1"/>
  <c r="AJ529" i="1"/>
  <c r="AR529" i="1" s="1"/>
  <c r="AK529" i="1"/>
  <c r="BD529" i="1" s="1"/>
  <c r="Z529" i="1" s="1"/>
  <c r="AY529" i="1"/>
  <c r="BE529" i="1"/>
  <c r="K530" i="1"/>
  <c r="AG530" i="1" s="1"/>
  <c r="M530" i="1"/>
  <c r="BA530" i="1"/>
  <c r="U530" i="1"/>
  <c r="W530" i="1"/>
  <c r="X530" i="1"/>
  <c r="AA530" i="1"/>
  <c r="AB530" i="1"/>
  <c r="AC530" i="1"/>
  <c r="AE530" i="1"/>
  <c r="AF530" i="1"/>
  <c r="AJ530" i="1"/>
  <c r="AR530" i="1"/>
  <c r="AK530" i="1"/>
  <c r="AY530" i="1"/>
  <c r="BE530" i="1"/>
  <c r="K531" i="1"/>
  <c r="AG531" i="1" s="1"/>
  <c r="M531" i="1"/>
  <c r="BA531" i="1" s="1"/>
  <c r="U531" i="1"/>
  <c r="W531" i="1"/>
  <c r="X531" i="1"/>
  <c r="AA531" i="1"/>
  <c r="AB531" i="1"/>
  <c r="AC531" i="1"/>
  <c r="AE531" i="1"/>
  <c r="AF531" i="1"/>
  <c r="AJ531" i="1"/>
  <c r="AK531" i="1"/>
  <c r="AY531" i="1"/>
  <c r="BE531" i="1"/>
  <c r="K532" i="1"/>
  <c r="AG532" i="1" s="1"/>
  <c r="M532" i="1"/>
  <c r="BA532" i="1" s="1"/>
  <c r="U532" i="1"/>
  <c r="W532" i="1"/>
  <c r="X532" i="1"/>
  <c r="AA532" i="1"/>
  <c r="AB532" i="1"/>
  <c r="AC532" i="1"/>
  <c r="AE532" i="1"/>
  <c r="AF532" i="1"/>
  <c r="AJ532" i="1"/>
  <c r="I532" i="1" s="1"/>
  <c r="AK532" i="1"/>
  <c r="BD532" i="1"/>
  <c r="Z532" i="1" s="1"/>
  <c r="AY532" i="1"/>
  <c r="BE532" i="1"/>
  <c r="K533" i="1"/>
  <c r="AG533" i="1"/>
  <c r="M533" i="1"/>
  <c r="BA533" i="1" s="1"/>
  <c r="U533" i="1"/>
  <c r="W533" i="1"/>
  <c r="X533" i="1"/>
  <c r="AA533" i="1"/>
  <c r="AB533" i="1"/>
  <c r="AC533" i="1"/>
  <c r="AE533" i="1"/>
  <c r="AF533" i="1"/>
  <c r="AJ533" i="1"/>
  <c r="I533" i="1" s="1"/>
  <c r="AK533" i="1"/>
  <c r="AY533" i="1"/>
  <c r="BE533" i="1"/>
  <c r="K534" i="1"/>
  <c r="AG534" i="1" s="1"/>
  <c r="M534" i="1"/>
  <c r="BA534" i="1"/>
  <c r="U534" i="1"/>
  <c r="W534" i="1"/>
  <c r="X534" i="1"/>
  <c r="AA534" i="1"/>
  <c r="AB534" i="1"/>
  <c r="AC534" i="1"/>
  <c r="AE534" i="1"/>
  <c r="AF534" i="1"/>
  <c r="AJ534" i="1"/>
  <c r="AK534" i="1"/>
  <c r="AY534" i="1"/>
  <c r="BE534" i="1"/>
  <c r="K535" i="1"/>
  <c r="AG535" i="1" s="1"/>
  <c r="M535" i="1"/>
  <c r="BA535" i="1"/>
  <c r="U535" i="1"/>
  <c r="W535" i="1"/>
  <c r="X535" i="1"/>
  <c r="AA535" i="1"/>
  <c r="AB535" i="1"/>
  <c r="AC535" i="1"/>
  <c r="AE535" i="1"/>
  <c r="AF535" i="1"/>
  <c r="AJ535" i="1"/>
  <c r="AK535" i="1"/>
  <c r="BD535" i="1"/>
  <c r="Z535" i="1" s="1"/>
  <c r="AY535" i="1"/>
  <c r="BE535" i="1"/>
  <c r="K536" i="1"/>
  <c r="AG536" i="1"/>
  <c r="M536" i="1"/>
  <c r="BA536" i="1" s="1"/>
  <c r="U536" i="1"/>
  <c r="W536" i="1"/>
  <c r="X536" i="1"/>
  <c r="AA536" i="1"/>
  <c r="AB536" i="1"/>
  <c r="AC536" i="1"/>
  <c r="AE536" i="1"/>
  <c r="AF536" i="1"/>
  <c r="AJ536" i="1"/>
  <c r="AR536" i="1" s="1"/>
  <c r="AK536" i="1"/>
  <c r="AY536" i="1"/>
  <c r="BE536" i="1"/>
  <c r="K538" i="1"/>
  <c r="AG538" i="1" s="1"/>
  <c r="M538" i="1"/>
  <c r="BA538" i="1"/>
  <c r="U538" i="1"/>
  <c r="W538" i="1"/>
  <c r="X538" i="1"/>
  <c r="AA538" i="1"/>
  <c r="AB538" i="1"/>
  <c r="AC538" i="1"/>
  <c r="AE538" i="1"/>
  <c r="AF538" i="1"/>
  <c r="AJ538" i="1"/>
  <c r="I538" i="1"/>
  <c r="AK538" i="1"/>
  <c r="J538" i="1" s="1"/>
  <c r="AY538" i="1"/>
  <c r="BE538" i="1"/>
  <c r="K539" i="1"/>
  <c r="AG539" i="1"/>
  <c r="M539" i="1"/>
  <c r="BA539" i="1"/>
  <c r="U539" i="1"/>
  <c r="W539" i="1"/>
  <c r="X539" i="1"/>
  <c r="AA539" i="1"/>
  <c r="AB539" i="1"/>
  <c r="AC539" i="1"/>
  <c r="AE539" i="1"/>
  <c r="AF539" i="1"/>
  <c r="AJ539" i="1"/>
  <c r="BC539" i="1" s="1"/>
  <c r="Y539" i="1" s="1"/>
  <c r="AK539" i="1"/>
  <c r="AY539" i="1"/>
  <c r="BE539" i="1"/>
  <c r="K540" i="1"/>
  <c r="M540" i="1"/>
  <c r="U540" i="1"/>
  <c r="W540" i="1"/>
  <c r="X540" i="1"/>
  <c r="AA540" i="1"/>
  <c r="AB540" i="1"/>
  <c r="AC540" i="1"/>
  <c r="AE540" i="1"/>
  <c r="AF540" i="1"/>
  <c r="AJ540" i="1"/>
  <c r="AR540" i="1" s="1"/>
  <c r="AK540" i="1"/>
  <c r="AY540" i="1"/>
  <c r="BE540" i="1"/>
  <c r="K541" i="1"/>
  <c r="AG541" i="1" s="1"/>
  <c r="M541" i="1"/>
  <c r="BA541" i="1" s="1"/>
  <c r="U541" i="1"/>
  <c r="W541" i="1"/>
  <c r="X541" i="1"/>
  <c r="AA541" i="1"/>
  <c r="AB541" i="1"/>
  <c r="AC541" i="1"/>
  <c r="AE541" i="1"/>
  <c r="AF541" i="1"/>
  <c r="AJ541" i="1"/>
  <c r="AK541" i="1"/>
  <c r="AY541" i="1"/>
  <c r="BE541" i="1"/>
  <c r="K542" i="1"/>
  <c r="AG542" i="1" s="1"/>
  <c r="M542" i="1"/>
  <c r="BA542" i="1" s="1"/>
  <c r="U542" i="1"/>
  <c r="W542" i="1"/>
  <c r="X542" i="1"/>
  <c r="AA542" i="1"/>
  <c r="AB542" i="1"/>
  <c r="AC542" i="1"/>
  <c r="AE542" i="1"/>
  <c r="AF542" i="1"/>
  <c r="AJ542" i="1"/>
  <c r="AK542" i="1"/>
  <c r="J542" i="1" s="1"/>
  <c r="AY542" i="1"/>
  <c r="BE542" i="1"/>
  <c r="K543" i="1"/>
  <c r="AG543" i="1"/>
  <c r="M543" i="1"/>
  <c r="U543" i="1"/>
  <c r="W543" i="1"/>
  <c r="X543" i="1"/>
  <c r="AA543" i="1"/>
  <c r="AB543" i="1"/>
  <c r="AC543" i="1"/>
  <c r="AE543" i="1"/>
  <c r="AF543" i="1"/>
  <c r="AJ543" i="1"/>
  <c r="I543" i="1"/>
  <c r="AK543" i="1"/>
  <c r="AY543" i="1"/>
  <c r="BA543" i="1"/>
  <c r="BE543" i="1"/>
  <c r="K544" i="1"/>
  <c r="AG544" i="1" s="1"/>
  <c r="M544" i="1"/>
  <c r="BA544" i="1"/>
  <c r="U544" i="1"/>
  <c r="W544" i="1"/>
  <c r="X544" i="1"/>
  <c r="AA544" i="1"/>
  <c r="AB544" i="1"/>
  <c r="AC544" i="1"/>
  <c r="AE544" i="1"/>
  <c r="AF544" i="1"/>
  <c r="AO537" i="1" s="1"/>
  <c r="AJ544" i="1"/>
  <c r="AK544" i="1"/>
  <c r="J544" i="1"/>
  <c r="AY544" i="1"/>
  <c r="BE544" i="1"/>
  <c r="K545" i="1"/>
  <c r="AG545" i="1" s="1"/>
  <c r="M545" i="1"/>
  <c r="BA545" i="1" s="1"/>
  <c r="U545" i="1"/>
  <c r="W545" i="1"/>
  <c r="X545" i="1"/>
  <c r="AA545" i="1"/>
  <c r="AB545" i="1"/>
  <c r="AC545" i="1"/>
  <c r="AE545" i="1"/>
  <c r="AN537" i="1" s="1"/>
  <c r="AF545" i="1"/>
  <c r="AJ545" i="1"/>
  <c r="AK545" i="1"/>
  <c r="AY545" i="1"/>
  <c r="BE545" i="1"/>
  <c r="K546" i="1"/>
  <c r="AG546" i="1" s="1"/>
  <c r="M546" i="1"/>
  <c r="BA546" i="1" s="1"/>
  <c r="U546" i="1"/>
  <c r="W546" i="1"/>
  <c r="X546" i="1"/>
  <c r="AA546" i="1"/>
  <c r="AB546" i="1"/>
  <c r="AC546" i="1"/>
  <c r="AE546" i="1"/>
  <c r="AF546" i="1"/>
  <c r="AJ546" i="1"/>
  <c r="AK546" i="1"/>
  <c r="AS546" i="1" s="1"/>
  <c r="AY546" i="1"/>
  <c r="BE546" i="1"/>
  <c r="K547" i="1"/>
  <c r="AG547" i="1" s="1"/>
  <c r="M547" i="1"/>
  <c r="BA547" i="1" s="1"/>
  <c r="U547" i="1"/>
  <c r="W547" i="1"/>
  <c r="X547" i="1"/>
  <c r="AA547" i="1"/>
  <c r="AB547" i="1"/>
  <c r="AC547" i="1"/>
  <c r="AE547" i="1"/>
  <c r="AF547" i="1"/>
  <c r="AJ547" i="1"/>
  <c r="BC547" i="1" s="1"/>
  <c r="Y547" i="1" s="1"/>
  <c r="AK547" i="1"/>
  <c r="AS547" i="1" s="1"/>
  <c r="AY547" i="1"/>
  <c r="BE547" i="1"/>
  <c r="K548" i="1"/>
  <c r="AG548" i="1"/>
  <c r="M548" i="1"/>
  <c r="BA548" i="1" s="1"/>
  <c r="U548" i="1"/>
  <c r="W548" i="1"/>
  <c r="X548" i="1"/>
  <c r="AA548" i="1"/>
  <c r="AB548" i="1"/>
  <c r="AC548" i="1"/>
  <c r="AE548" i="1"/>
  <c r="AF548" i="1"/>
  <c r="AJ548" i="1"/>
  <c r="I548" i="1" s="1"/>
  <c r="AK548" i="1"/>
  <c r="AS548" i="1"/>
  <c r="AY548" i="1"/>
  <c r="BE548" i="1"/>
  <c r="K549" i="1"/>
  <c r="M549" i="1"/>
  <c r="BA549" i="1"/>
  <c r="U549" i="1"/>
  <c r="W549" i="1"/>
  <c r="X549" i="1"/>
  <c r="AA549" i="1"/>
  <c r="AB549" i="1"/>
  <c r="AC549" i="1"/>
  <c r="AE549" i="1"/>
  <c r="AF549" i="1"/>
  <c r="AJ549" i="1"/>
  <c r="AK549" i="1"/>
  <c r="BD549" i="1"/>
  <c r="Z549" i="1" s="1"/>
  <c r="AY549" i="1"/>
  <c r="BE549" i="1"/>
  <c r="K550" i="1"/>
  <c r="AG550" i="1"/>
  <c r="M550" i="1"/>
  <c r="BA550" i="1" s="1"/>
  <c r="U550" i="1"/>
  <c r="W550" i="1"/>
  <c r="X550" i="1"/>
  <c r="AA550" i="1"/>
  <c r="AB550" i="1"/>
  <c r="AC550" i="1"/>
  <c r="AE550" i="1"/>
  <c r="AF550" i="1"/>
  <c r="AJ550" i="1"/>
  <c r="AK550" i="1"/>
  <c r="BD550" i="1"/>
  <c r="Z550" i="1" s="1"/>
  <c r="AY550" i="1"/>
  <c r="BE550" i="1"/>
  <c r="K551" i="1"/>
  <c r="AG551" i="1" s="1"/>
  <c r="M551" i="1"/>
  <c r="BA551" i="1" s="1"/>
  <c r="U551" i="1"/>
  <c r="W551" i="1"/>
  <c r="X551" i="1"/>
  <c r="AA551" i="1"/>
  <c r="AB551" i="1"/>
  <c r="AC551" i="1"/>
  <c r="AE551" i="1"/>
  <c r="AF551" i="1"/>
  <c r="AJ551" i="1"/>
  <c r="I551" i="1" s="1"/>
  <c r="AK551" i="1"/>
  <c r="AY551" i="1"/>
  <c r="BE551" i="1"/>
  <c r="K552" i="1"/>
  <c r="AG552" i="1"/>
  <c r="M552" i="1"/>
  <c r="BA552" i="1"/>
  <c r="U552" i="1"/>
  <c r="W552" i="1"/>
  <c r="X552" i="1"/>
  <c r="AA552" i="1"/>
  <c r="AB552" i="1"/>
  <c r="AC552" i="1"/>
  <c r="AE552" i="1"/>
  <c r="AF552" i="1"/>
  <c r="AJ552" i="1"/>
  <c r="I552" i="1" s="1"/>
  <c r="AK552" i="1"/>
  <c r="J552" i="1" s="1"/>
  <c r="AY552" i="1"/>
  <c r="BE552" i="1"/>
  <c r="K553" i="1"/>
  <c r="AG553" i="1"/>
  <c r="M553" i="1"/>
  <c r="BA553" i="1" s="1"/>
  <c r="U553" i="1"/>
  <c r="W553" i="1"/>
  <c r="X553" i="1"/>
  <c r="AA553" i="1"/>
  <c r="AB553" i="1"/>
  <c r="AC553" i="1"/>
  <c r="AE553" i="1"/>
  <c r="AF553" i="1"/>
  <c r="AJ553" i="1"/>
  <c r="BC553" i="1" s="1"/>
  <c r="Y553" i="1" s="1"/>
  <c r="AK553" i="1"/>
  <c r="BD553" i="1" s="1"/>
  <c r="Z553" i="1" s="1"/>
  <c r="AY553" i="1"/>
  <c r="BE553" i="1"/>
  <c r="K554" i="1"/>
  <c r="AG554" i="1" s="1"/>
  <c r="M554" i="1"/>
  <c r="BA554" i="1"/>
  <c r="U554" i="1"/>
  <c r="W554" i="1"/>
  <c r="X554" i="1"/>
  <c r="AA554" i="1"/>
  <c r="AB554" i="1"/>
  <c r="AC554" i="1"/>
  <c r="AE554" i="1"/>
  <c r="AF554" i="1"/>
  <c r="AJ554" i="1"/>
  <c r="I554" i="1"/>
  <c r="AK554" i="1"/>
  <c r="AY554" i="1"/>
  <c r="BE554" i="1"/>
  <c r="K556" i="1"/>
  <c r="AG556" i="1" s="1"/>
  <c r="M556" i="1"/>
  <c r="BA556" i="1" s="1"/>
  <c r="U556" i="1"/>
  <c r="W556" i="1"/>
  <c r="X556" i="1"/>
  <c r="AA556" i="1"/>
  <c r="AB556" i="1"/>
  <c r="AC556" i="1"/>
  <c r="AE556" i="1"/>
  <c r="AF556" i="1"/>
  <c r="AJ556" i="1"/>
  <c r="BC556" i="1" s="1"/>
  <c r="Y556" i="1" s="1"/>
  <c r="AK556" i="1"/>
  <c r="AS556" i="1" s="1"/>
  <c r="AY556" i="1"/>
  <c r="BE556" i="1"/>
  <c r="K557" i="1"/>
  <c r="AG557" i="1"/>
  <c r="M557" i="1"/>
  <c r="BA557" i="1" s="1"/>
  <c r="U557" i="1"/>
  <c r="W557" i="1"/>
  <c r="X557" i="1"/>
  <c r="AA557" i="1"/>
  <c r="AB557" i="1"/>
  <c r="AC557" i="1"/>
  <c r="AE557" i="1"/>
  <c r="AF557" i="1"/>
  <c r="AJ557" i="1"/>
  <c r="AR557" i="1" s="1"/>
  <c r="AK557" i="1"/>
  <c r="AY557" i="1"/>
  <c r="BE557" i="1"/>
  <c r="K558" i="1"/>
  <c r="M558" i="1"/>
  <c r="BA558" i="1" s="1"/>
  <c r="U558" i="1"/>
  <c r="W558" i="1"/>
  <c r="X558" i="1"/>
  <c r="AA558" i="1"/>
  <c r="AB558" i="1"/>
  <c r="AC558" i="1"/>
  <c r="AE558" i="1"/>
  <c r="AF558" i="1"/>
  <c r="AJ558" i="1"/>
  <c r="AK558" i="1"/>
  <c r="J558" i="1" s="1"/>
  <c r="AY558" i="1"/>
  <c r="BE558" i="1"/>
  <c r="K559" i="1"/>
  <c r="AG559" i="1" s="1"/>
  <c r="M559" i="1"/>
  <c r="BA559" i="1"/>
  <c r="U559" i="1"/>
  <c r="W559" i="1"/>
  <c r="X559" i="1"/>
  <c r="AA559" i="1"/>
  <c r="AB559" i="1"/>
  <c r="AC559" i="1"/>
  <c r="AE559" i="1"/>
  <c r="AF559" i="1"/>
  <c r="AJ559" i="1"/>
  <c r="AK559" i="1"/>
  <c r="BD559" i="1"/>
  <c r="Z559" i="1" s="1"/>
  <c r="AY559" i="1"/>
  <c r="BE559" i="1"/>
  <c r="K560" i="1"/>
  <c r="AG560" i="1"/>
  <c r="M560" i="1"/>
  <c r="U560" i="1"/>
  <c r="W560" i="1"/>
  <c r="X560" i="1"/>
  <c r="AA560" i="1"/>
  <c r="AB560" i="1"/>
  <c r="AC560" i="1"/>
  <c r="AE560" i="1"/>
  <c r="AF560" i="1"/>
  <c r="AJ560" i="1"/>
  <c r="I560" i="1"/>
  <c r="AK560" i="1"/>
  <c r="J560" i="1"/>
  <c r="AY560" i="1"/>
  <c r="BE560" i="1"/>
  <c r="K561" i="1"/>
  <c r="AG561" i="1" s="1"/>
  <c r="M561" i="1"/>
  <c r="U561" i="1"/>
  <c r="W561" i="1"/>
  <c r="X561" i="1"/>
  <c r="AA561" i="1"/>
  <c r="AB561" i="1"/>
  <c r="AC561" i="1"/>
  <c r="AE561" i="1"/>
  <c r="AF561" i="1"/>
  <c r="AJ561" i="1"/>
  <c r="AR561" i="1" s="1"/>
  <c r="AK561" i="1"/>
  <c r="J561" i="1" s="1"/>
  <c r="AY561" i="1"/>
  <c r="BE561" i="1"/>
  <c r="K562" i="1"/>
  <c r="AG562" i="1" s="1"/>
  <c r="M562" i="1"/>
  <c r="BA562" i="1" s="1"/>
  <c r="U562" i="1"/>
  <c r="W562" i="1"/>
  <c r="X562" i="1"/>
  <c r="AA562" i="1"/>
  <c r="AB562" i="1"/>
  <c r="AC562" i="1"/>
  <c r="AE562" i="1"/>
  <c r="AF562" i="1"/>
  <c r="AJ562" i="1"/>
  <c r="AR562" i="1" s="1"/>
  <c r="AK562" i="1"/>
  <c r="BD562" i="1"/>
  <c r="Z562" i="1" s="1"/>
  <c r="AY562" i="1"/>
  <c r="BE562" i="1"/>
  <c r="K563" i="1"/>
  <c r="AG563" i="1"/>
  <c r="M563" i="1"/>
  <c r="BA563" i="1" s="1"/>
  <c r="U563" i="1"/>
  <c r="W563" i="1"/>
  <c r="X563" i="1"/>
  <c r="AA563" i="1"/>
  <c r="AB563" i="1"/>
  <c r="AC563" i="1"/>
  <c r="AE563" i="1"/>
  <c r="AF563" i="1"/>
  <c r="AJ563" i="1"/>
  <c r="BC563" i="1" s="1"/>
  <c r="Y563" i="1" s="1"/>
  <c r="AK563" i="1"/>
  <c r="J563" i="1" s="1"/>
  <c r="AY563" i="1"/>
  <c r="BE563" i="1"/>
  <c r="K564" i="1"/>
  <c r="AG564" i="1"/>
  <c r="M564" i="1"/>
  <c r="BA564" i="1" s="1"/>
  <c r="U564" i="1"/>
  <c r="W564" i="1"/>
  <c r="X564" i="1"/>
  <c r="AA564" i="1"/>
  <c r="AB564" i="1"/>
  <c r="AC564" i="1"/>
  <c r="AE564" i="1"/>
  <c r="AF564" i="1"/>
  <c r="AJ564" i="1"/>
  <c r="AK564" i="1"/>
  <c r="AY564" i="1"/>
  <c r="BE564" i="1"/>
  <c r="K565" i="1"/>
  <c r="AG565" i="1"/>
  <c r="M565" i="1"/>
  <c r="BA565" i="1" s="1"/>
  <c r="U565" i="1"/>
  <c r="W565" i="1"/>
  <c r="X565" i="1"/>
  <c r="AA565" i="1"/>
  <c r="AB565" i="1"/>
  <c r="AC565" i="1"/>
  <c r="AE565" i="1"/>
  <c r="AF565" i="1"/>
  <c r="AJ565" i="1"/>
  <c r="AK565" i="1"/>
  <c r="J565" i="1"/>
  <c r="AY565" i="1"/>
  <c r="BE565" i="1"/>
  <c r="K566" i="1"/>
  <c r="AG566" i="1" s="1"/>
  <c r="M566" i="1"/>
  <c r="BA566" i="1"/>
  <c r="U566" i="1"/>
  <c r="W566" i="1"/>
  <c r="X566" i="1"/>
  <c r="AA566" i="1"/>
  <c r="AB566" i="1"/>
  <c r="AC566" i="1"/>
  <c r="AE566" i="1"/>
  <c r="AF566" i="1"/>
  <c r="AJ566" i="1"/>
  <c r="BC566" i="1"/>
  <c r="Y566" i="1" s="1"/>
  <c r="AK566" i="1"/>
  <c r="AS566" i="1"/>
  <c r="AY566" i="1"/>
  <c r="BE566" i="1"/>
  <c r="K567" i="1"/>
  <c r="AG567" i="1" s="1"/>
  <c r="M567" i="1"/>
  <c r="BA567" i="1" s="1"/>
  <c r="U567" i="1"/>
  <c r="W567" i="1"/>
  <c r="X567" i="1"/>
  <c r="AA567" i="1"/>
  <c r="AB567" i="1"/>
  <c r="AC567" i="1"/>
  <c r="AE567" i="1"/>
  <c r="AF567" i="1"/>
  <c r="AJ567" i="1"/>
  <c r="AR567" i="1"/>
  <c r="AK567" i="1"/>
  <c r="J567" i="1" s="1"/>
  <c r="AY567" i="1"/>
  <c r="BE567" i="1"/>
  <c r="K568" i="1"/>
  <c r="AG568" i="1" s="1"/>
  <c r="M568" i="1"/>
  <c r="BA568" i="1"/>
  <c r="U568" i="1"/>
  <c r="W568" i="1"/>
  <c r="X568" i="1"/>
  <c r="AA568" i="1"/>
  <c r="AB568" i="1"/>
  <c r="AC568" i="1"/>
  <c r="AE568" i="1"/>
  <c r="AF568" i="1"/>
  <c r="AJ568" i="1"/>
  <c r="AR568" i="1" s="1"/>
  <c r="AK568" i="1"/>
  <c r="BD568" i="1" s="1"/>
  <c r="Z568" i="1" s="1"/>
  <c r="AY568" i="1"/>
  <c r="BE568" i="1"/>
  <c r="K569" i="1"/>
  <c r="AG569" i="1" s="1"/>
  <c r="M569" i="1"/>
  <c r="BA569" i="1"/>
  <c r="U569" i="1"/>
  <c r="W569" i="1"/>
  <c r="X569" i="1"/>
  <c r="AA569" i="1"/>
  <c r="AB569" i="1"/>
  <c r="AC569" i="1"/>
  <c r="AE569" i="1"/>
  <c r="AF569" i="1"/>
  <c r="AJ569" i="1"/>
  <c r="AR569" i="1"/>
  <c r="AK569" i="1"/>
  <c r="J569" i="1" s="1"/>
  <c r="AY569" i="1"/>
  <c r="BE569" i="1"/>
  <c r="K572" i="1"/>
  <c r="M572" i="1"/>
  <c r="BA572" i="1" s="1"/>
  <c r="U572" i="1"/>
  <c r="W572" i="1"/>
  <c r="X572" i="1"/>
  <c r="AA572" i="1"/>
  <c r="AB572" i="1"/>
  <c r="AC572" i="1"/>
  <c r="AE572" i="1"/>
  <c r="AF572" i="1"/>
  <c r="AJ572" i="1"/>
  <c r="AK572" i="1"/>
  <c r="AY572" i="1"/>
  <c r="BE572" i="1"/>
  <c r="K573" i="1"/>
  <c r="AG573" i="1" s="1"/>
  <c r="M573" i="1"/>
  <c r="BA573" i="1" s="1"/>
  <c r="U573" i="1"/>
  <c r="W573" i="1"/>
  <c r="X573" i="1"/>
  <c r="AA573" i="1"/>
  <c r="AB573" i="1"/>
  <c r="AC573" i="1"/>
  <c r="AE573" i="1"/>
  <c r="AF573" i="1"/>
  <c r="AJ573" i="1"/>
  <c r="I573" i="1" s="1"/>
  <c r="AK573" i="1"/>
  <c r="AS573" i="1"/>
  <c r="AY573" i="1"/>
  <c r="BE573" i="1"/>
  <c r="K574" i="1"/>
  <c r="AG574" i="1" s="1"/>
  <c r="M574" i="1"/>
  <c r="BA574" i="1" s="1"/>
  <c r="U574" i="1"/>
  <c r="W574" i="1"/>
  <c r="X574" i="1"/>
  <c r="AA574" i="1"/>
  <c r="AB574" i="1"/>
  <c r="AC574" i="1"/>
  <c r="AE574" i="1"/>
  <c r="AF574" i="1"/>
  <c r="AJ574" i="1"/>
  <c r="AR574" i="1"/>
  <c r="AK574" i="1"/>
  <c r="AS574" i="1" s="1"/>
  <c r="AY574" i="1"/>
  <c r="BE574" i="1"/>
  <c r="K575" i="1"/>
  <c r="AG575" i="1" s="1"/>
  <c r="M575" i="1"/>
  <c r="BA575" i="1"/>
  <c r="U575" i="1"/>
  <c r="W575" i="1"/>
  <c r="X575" i="1"/>
  <c r="AA575" i="1"/>
  <c r="AB575" i="1"/>
  <c r="AC575" i="1"/>
  <c r="AE575" i="1"/>
  <c r="AF575" i="1"/>
  <c r="AJ575" i="1"/>
  <c r="AR575" i="1" s="1"/>
  <c r="AX575" i="1" s="1"/>
  <c r="AK575" i="1"/>
  <c r="AS575" i="1"/>
  <c r="AY575" i="1"/>
  <c r="BE575" i="1"/>
  <c r="K576" i="1"/>
  <c r="AG576" i="1" s="1"/>
  <c r="M576" i="1"/>
  <c r="BA576" i="1"/>
  <c r="U576" i="1"/>
  <c r="W576" i="1"/>
  <c r="X576" i="1"/>
  <c r="AA576" i="1"/>
  <c r="AB576" i="1"/>
  <c r="AC576" i="1"/>
  <c r="AE576" i="1"/>
  <c r="AF576" i="1"/>
  <c r="AJ576" i="1"/>
  <c r="BC576" i="1"/>
  <c r="Y576" i="1" s="1"/>
  <c r="AK576" i="1"/>
  <c r="AY576" i="1"/>
  <c r="BE576" i="1"/>
  <c r="K577" i="1"/>
  <c r="AG577" i="1"/>
  <c r="M577" i="1"/>
  <c r="BA577" i="1"/>
  <c r="U577" i="1"/>
  <c r="W577" i="1"/>
  <c r="X577" i="1"/>
  <c r="AA577" i="1"/>
  <c r="AB577" i="1"/>
  <c r="AC577" i="1"/>
  <c r="AE577" i="1"/>
  <c r="AF577" i="1"/>
  <c r="AJ577" i="1"/>
  <c r="I577" i="1" s="1"/>
  <c r="AK577" i="1"/>
  <c r="AY577" i="1"/>
  <c r="BE577" i="1"/>
  <c r="K578" i="1"/>
  <c r="AG578" i="1" s="1"/>
  <c r="M578" i="1"/>
  <c r="BA578" i="1" s="1"/>
  <c r="U578" i="1"/>
  <c r="W578" i="1"/>
  <c r="X578" i="1"/>
  <c r="AA578" i="1"/>
  <c r="AB578" i="1"/>
  <c r="AC578" i="1"/>
  <c r="AE578" i="1"/>
  <c r="AF578" i="1"/>
  <c r="AJ578" i="1"/>
  <c r="AK578" i="1"/>
  <c r="J578" i="1" s="1"/>
  <c r="AY578" i="1"/>
  <c r="BE578" i="1"/>
  <c r="K579" i="1"/>
  <c r="AG579" i="1"/>
  <c r="M579" i="1"/>
  <c r="BA579" i="1"/>
  <c r="U579" i="1"/>
  <c r="W579" i="1"/>
  <c r="X579" i="1"/>
  <c r="AA579" i="1"/>
  <c r="AB579" i="1"/>
  <c r="AC579" i="1"/>
  <c r="AE579" i="1"/>
  <c r="AF579" i="1"/>
  <c r="AJ579" i="1"/>
  <c r="AR579" i="1" s="1"/>
  <c r="AK579" i="1"/>
  <c r="J579" i="1"/>
  <c r="AY579" i="1"/>
  <c r="BE579" i="1"/>
  <c r="K580" i="1"/>
  <c r="AG580" i="1"/>
  <c r="M580" i="1"/>
  <c r="BA580" i="1" s="1"/>
  <c r="U580" i="1"/>
  <c r="W580" i="1"/>
  <c r="X580" i="1"/>
  <c r="AA580" i="1"/>
  <c r="AB580" i="1"/>
  <c r="AC580" i="1"/>
  <c r="AE580" i="1"/>
  <c r="AF580" i="1"/>
  <c r="AJ580" i="1"/>
  <c r="AK580" i="1"/>
  <c r="AS580" i="1" s="1"/>
  <c r="AY580" i="1"/>
  <c r="BE580" i="1"/>
  <c r="K581" i="1"/>
  <c r="AG581" i="1"/>
  <c r="M581" i="1"/>
  <c r="BA581" i="1" s="1"/>
  <c r="U581" i="1"/>
  <c r="W581" i="1"/>
  <c r="X581" i="1"/>
  <c r="AA581" i="1"/>
  <c r="AB581" i="1"/>
  <c r="AC581" i="1"/>
  <c r="AE581" i="1"/>
  <c r="AF581" i="1"/>
  <c r="AJ581" i="1"/>
  <c r="AR581" i="1" s="1"/>
  <c r="AK581" i="1"/>
  <c r="BD581" i="1" s="1"/>
  <c r="Z581" i="1" s="1"/>
  <c r="AY581" i="1"/>
  <c r="BE581" i="1"/>
  <c r="K582" i="1"/>
  <c r="AG582" i="1"/>
  <c r="M582" i="1"/>
  <c r="BA582" i="1"/>
  <c r="U582" i="1"/>
  <c r="W582" i="1"/>
  <c r="X582" i="1"/>
  <c r="AA582" i="1"/>
  <c r="AB582" i="1"/>
  <c r="AC582" i="1"/>
  <c r="AE582" i="1"/>
  <c r="AF582" i="1"/>
  <c r="AJ582" i="1"/>
  <c r="BC582" i="1"/>
  <c r="Y582" i="1"/>
  <c r="AK582" i="1"/>
  <c r="AY582" i="1"/>
  <c r="BE582" i="1"/>
  <c r="K583" i="1"/>
  <c r="AG583" i="1"/>
  <c r="M583" i="1"/>
  <c r="BA583" i="1"/>
  <c r="U583" i="1"/>
  <c r="W583" i="1"/>
  <c r="X583" i="1"/>
  <c r="AA583" i="1"/>
  <c r="AB583" i="1"/>
  <c r="AC583" i="1"/>
  <c r="AE583" i="1"/>
  <c r="AF583" i="1"/>
  <c r="AJ583" i="1"/>
  <c r="AK583" i="1"/>
  <c r="AS583" i="1" s="1"/>
  <c r="AY583" i="1"/>
  <c r="BE583" i="1"/>
  <c r="K584" i="1"/>
  <c r="AG584" i="1" s="1"/>
  <c r="M584" i="1"/>
  <c r="BA584" i="1"/>
  <c r="U584" i="1"/>
  <c r="W584" i="1"/>
  <c r="X584" i="1"/>
  <c r="AA584" i="1"/>
  <c r="AB584" i="1"/>
  <c r="AC584" i="1"/>
  <c r="AE584" i="1"/>
  <c r="AF584" i="1"/>
  <c r="AJ584" i="1"/>
  <c r="AR584" i="1" s="1"/>
  <c r="AK584" i="1"/>
  <c r="AY584" i="1"/>
  <c r="BE584" i="1"/>
  <c r="K585" i="1"/>
  <c r="AG585" i="1"/>
  <c r="M585" i="1"/>
  <c r="BA585" i="1" s="1"/>
  <c r="U585" i="1"/>
  <c r="W585" i="1"/>
  <c r="X585" i="1"/>
  <c r="AA585" i="1"/>
  <c r="AB585" i="1"/>
  <c r="AC585" i="1"/>
  <c r="AE585" i="1"/>
  <c r="AF585" i="1"/>
  <c r="AJ585" i="1"/>
  <c r="AR585" i="1"/>
  <c r="AK585" i="1"/>
  <c r="AY585" i="1"/>
  <c r="BE585" i="1"/>
  <c r="K586" i="1"/>
  <c r="AG586" i="1"/>
  <c r="M586" i="1"/>
  <c r="BA586" i="1" s="1"/>
  <c r="U586" i="1"/>
  <c r="W586" i="1"/>
  <c r="X586" i="1"/>
  <c r="AA586" i="1"/>
  <c r="AB586" i="1"/>
  <c r="AC586" i="1"/>
  <c r="AE586" i="1"/>
  <c r="AF586" i="1"/>
  <c r="AJ586" i="1"/>
  <c r="AR586" i="1" s="1"/>
  <c r="AK586" i="1"/>
  <c r="BD586" i="1" s="1"/>
  <c r="Z586" i="1" s="1"/>
  <c r="AY586" i="1"/>
  <c r="BE586" i="1"/>
  <c r="K587" i="1"/>
  <c r="AG587" i="1"/>
  <c r="M587" i="1"/>
  <c r="BA587" i="1"/>
  <c r="U587" i="1"/>
  <c r="W587" i="1"/>
  <c r="X587" i="1"/>
  <c r="AA587" i="1"/>
  <c r="AB587" i="1"/>
  <c r="AC587" i="1"/>
  <c r="AE587" i="1"/>
  <c r="AF587" i="1"/>
  <c r="AJ587" i="1"/>
  <c r="AK587" i="1"/>
  <c r="BD587" i="1"/>
  <c r="Z587" i="1" s="1"/>
  <c r="AY587" i="1"/>
  <c r="BE587" i="1"/>
  <c r="K588" i="1"/>
  <c r="AG588" i="1"/>
  <c r="M588" i="1"/>
  <c r="BA588" i="1"/>
  <c r="U588" i="1"/>
  <c r="W588" i="1"/>
  <c r="X588" i="1"/>
  <c r="AA588" i="1"/>
  <c r="AB588" i="1"/>
  <c r="AC588" i="1"/>
  <c r="AE588" i="1"/>
  <c r="AF588" i="1"/>
  <c r="AJ588" i="1"/>
  <c r="AK588" i="1"/>
  <c r="AS588" i="1" s="1"/>
  <c r="AY588" i="1"/>
  <c r="BE588" i="1"/>
  <c r="K589" i="1"/>
  <c r="AG589" i="1" s="1"/>
  <c r="M589" i="1"/>
  <c r="BA589" i="1"/>
  <c r="U589" i="1"/>
  <c r="W589" i="1"/>
  <c r="X589" i="1"/>
  <c r="AA589" i="1"/>
  <c r="AB589" i="1"/>
  <c r="AC589" i="1"/>
  <c r="AE589" i="1"/>
  <c r="AF589" i="1"/>
  <c r="AJ589" i="1"/>
  <c r="I589" i="1" s="1"/>
  <c r="AK589" i="1"/>
  <c r="AS589" i="1" s="1"/>
  <c r="AY589" i="1"/>
  <c r="BE589" i="1"/>
  <c r="K590" i="1"/>
  <c r="AG590" i="1"/>
  <c r="M590" i="1"/>
  <c r="BA590" i="1" s="1"/>
  <c r="U590" i="1"/>
  <c r="W590" i="1"/>
  <c r="X590" i="1"/>
  <c r="AA590" i="1"/>
  <c r="AB590" i="1"/>
  <c r="AC590" i="1"/>
  <c r="AE590" i="1"/>
  <c r="AF590" i="1"/>
  <c r="AJ590" i="1"/>
  <c r="I590" i="1" s="1"/>
  <c r="AK590" i="1"/>
  <c r="J590" i="1" s="1"/>
  <c r="AY590" i="1"/>
  <c r="BE590" i="1"/>
  <c r="K591" i="1"/>
  <c r="AG591" i="1" s="1"/>
  <c r="M591" i="1"/>
  <c r="BA591" i="1" s="1"/>
  <c r="U591" i="1"/>
  <c r="W591" i="1"/>
  <c r="X591" i="1"/>
  <c r="AA591" i="1"/>
  <c r="AB591" i="1"/>
  <c r="AC591" i="1"/>
  <c r="AE591" i="1"/>
  <c r="AF591" i="1"/>
  <c r="AJ591" i="1"/>
  <c r="AK591" i="1"/>
  <c r="J591" i="1"/>
  <c r="AY591" i="1"/>
  <c r="BE591" i="1"/>
  <c r="K592" i="1"/>
  <c r="AG592" i="1"/>
  <c r="M592" i="1"/>
  <c r="BA592" i="1"/>
  <c r="U592" i="1"/>
  <c r="W592" i="1"/>
  <c r="X592" i="1"/>
  <c r="AA592" i="1"/>
  <c r="AB592" i="1"/>
  <c r="AC592" i="1"/>
  <c r="AE592" i="1"/>
  <c r="AF592" i="1"/>
  <c r="AJ592" i="1"/>
  <c r="I592" i="1"/>
  <c r="AK592" i="1"/>
  <c r="AY592" i="1"/>
  <c r="BE592" i="1"/>
  <c r="K593" i="1"/>
  <c r="AG593" i="1" s="1"/>
  <c r="M593" i="1"/>
  <c r="BA593" i="1" s="1"/>
  <c r="U593" i="1"/>
  <c r="W593" i="1"/>
  <c r="X593" i="1"/>
  <c r="AA593" i="1"/>
  <c r="AB593" i="1"/>
  <c r="AC593" i="1"/>
  <c r="AE593" i="1"/>
  <c r="AF593" i="1"/>
  <c r="AJ593" i="1"/>
  <c r="AK593" i="1"/>
  <c r="AY593" i="1"/>
  <c r="BE593" i="1"/>
  <c r="K594" i="1"/>
  <c r="AG594" i="1" s="1"/>
  <c r="M594" i="1"/>
  <c r="BA594" i="1" s="1"/>
  <c r="U594" i="1"/>
  <c r="W594" i="1"/>
  <c r="X594" i="1"/>
  <c r="AA594" i="1"/>
  <c r="AB594" i="1"/>
  <c r="AC594" i="1"/>
  <c r="AE594" i="1"/>
  <c r="AF594" i="1"/>
  <c r="AJ594" i="1"/>
  <c r="AK594" i="1"/>
  <c r="J594" i="1" s="1"/>
  <c r="AY594" i="1"/>
  <c r="BE594" i="1"/>
  <c r="K595" i="1"/>
  <c r="AG595" i="1"/>
  <c r="M595" i="1"/>
  <c r="BA595" i="1"/>
  <c r="U595" i="1"/>
  <c r="W595" i="1"/>
  <c r="X595" i="1"/>
  <c r="AA595" i="1"/>
  <c r="AB595" i="1"/>
  <c r="AC595" i="1"/>
  <c r="AE595" i="1"/>
  <c r="AF595" i="1"/>
  <c r="AJ595" i="1"/>
  <c r="I595" i="1" s="1"/>
  <c r="AK595" i="1"/>
  <c r="AY595" i="1"/>
  <c r="BE595" i="1"/>
  <c r="K596" i="1"/>
  <c r="AG596" i="1" s="1"/>
  <c r="M596" i="1"/>
  <c r="BA596" i="1"/>
  <c r="U596" i="1"/>
  <c r="W596" i="1"/>
  <c r="X596" i="1"/>
  <c r="AA596" i="1"/>
  <c r="AB596" i="1"/>
  <c r="AC596" i="1"/>
  <c r="AE596" i="1"/>
  <c r="AF596" i="1"/>
  <c r="AJ596" i="1"/>
  <c r="I596" i="1" s="1"/>
  <c r="AK596" i="1"/>
  <c r="BD596" i="1" s="1"/>
  <c r="Z596" i="1" s="1"/>
  <c r="AY596" i="1"/>
  <c r="BE596" i="1"/>
  <c r="K597" i="1"/>
  <c r="AG597" i="1" s="1"/>
  <c r="M597" i="1"/>
  <c r="BA597" i="1"/>
  <c r="U597" i="1"/>
  <c r="W597" i="1"/>
  <c r="X597" i="1"/>
  <c r="AA597" i="1"/>
  <c r="AB597" i="1"/>
  <c r="AC597" i="1"/>
  <c r="AE597" i="1"/>
  <c r="AF597" i="1"/>
  <c r="AJ597" i="1"/>
  <c r="I597" i="1"/>
  <c r="AK597" i="1"/>
  <c r="AY597" i="1"/>
  <c r="BE597" i="1"/>
  <c r="K598" i="1"/>
  <c r="AG598" i="1" s="1"/>
  <c r="M598" i="1"/>
  <c r="BA598" i="1" s="1"/>
  <c r="U598" i="1"/>
  <c r="W598" i="1"/>
  <c r="X598" i="1"/>
  <c r="AA598" i="1"/>
  <c r="AB598" i="1"/>
  <c r="AC598" i="1"/>
  <c r="AE598" i="1"/>
  <c r="AF598" i="1"/>
  <c r="AJ598" i="1"/>
  <c r="AR598" i="1" s="1"/>
  <c r="AK598" i="1"/>
  <c r="J598" i="1"/>
  <c r="AY598" i="1"/>
  <c r="BE598" i="1"/>
  <c r="K599" i="1"/>
  <c r="AG599" i="1" s="1"/>
  <c r="M599" i="1"/>
  <c r="BA599" i="1" s="1"/>
  <c r="U599" i="1"/>
  <c r="W599" i="1"/>
  <c r="X599" i="1"/>
  <c r="AA599" i="1"/>
  <c r="AB599" i="1"/>
  <c r="AC599" i="1"/>
  <c r="AE599" i="1"/>
  <c r="AF599" i="1"/>
  <c r="AJ599" i="1"/>
  <c r="AK599" i="1"/>
  <c r="AY599" i="1"/>
  <c r="BE599" i="1"/>
  <c r="K600" i="1"/>
  <c r="AG600" i="1" s="1"/>
  <c r="M600" i="1"/>
  <c r="BA600" i="1" s="1"/>
  <c r="U600" i="1"/>
  <c r="W600" i="1"/>
  <c r="X600" i="1"/>
  <c r="AA600" i="1"/>
  <c r="AB600" i="1"/>
  <c r="AC600" i="1"/>
  <c r="AE600" i="1"/>
  <c r="AF600" i="1"/>
  <c r="AJ600" i="1"/>
  <c r="AK600" i="1"/>
  <c r="J600" i="1" s="1"/>
  <c r="AY600" i="1"/>
  <c r="BE600" i="1"/>
  <c r="K601" i="1"/>
  <c r="AG601" i="1"/>
  <c r="M601" i="1"/>
  <c r="BA601" i="1"/>
  <c r="U601" i="1"/>
  <c r="W601" i="1"/>
  <c r="X601" i="1"/>
  <c r="AA601" i="1"/>
  <c r="AB601" i="1"/>
  <c r="AC601" i="1"/>
  <c r="AE601" i="1"/>
  <c r="AF601" i="1"/>
  <c r="AJ601" i="1"/>
  <c r="I601" i="1" s="1"/>
  <c r="AK601" i="1"/>
  <c r="AY601" i="1"/>
  <c r="BE601" i="1"/>
  <c r="K602" i="1"/>
  <c r="AG602" i="1" s="1"/>
  <c r="M602" i="1"/>
  <c r="BA602" i="1"/>
  <c r="U602" i="1"/>
  <c r="W602" i="1"/>
  <c r="X602" i="1"/>
  <c r="AA602" i="1"/>
  <c r="AB602" i="1"/>
  <c r="AC602" i="1"/>
  <c r="AE602" i="1"/>
  <c r="AF602" i="1"/>
  <c r="AJ602" i="1"/>
  <c r="AR602" i="1" s="1"/>
  <c r="AK602" i="1"/>
  <c r="BD602" i="1" s="1"/>
  <c r="Z602" i="1" s="1"/>
  <c r="AY602" i="1"/>
  <c r="BE602" i="1"/>
  <c r="K603" i="1"/>
  <c r="AG603" i="1" s="1"/>
  <c r="M603" i="1"/>
  <c r="BA603" i="1"/>
  <c r="U603" i="1"/>
  <c r="W603" i="1"/>
  <c r="X603" i="1"/>
  <c r="AA603" i="1"/>
  <c r="AB603" i="1"/>
  <c r="AC603" i="1"/>
  <c r="AE603" i="1"/>
  <c r="AF603" i="1"/>
  <c r="AJ603" i="1"/>
  <c r="I603" i="1"/>
  <c r="AK603" i="1"/>
  <c r="J603" i="1" s="1"/>
  <c r="AY603" i="1"/>
  <c r="BE603" i="1"/>
  <c r="K604" i="1"/>
  <c r="AG604" i="1"/>
  <c r="M604" i="1"/>
  <c r="BA604" i="1"/>
  <c r="U604" i="1"/>
  <c r="W604" i="1"/>
  <c r="X604" i="1"/>
  <c r="AA604" i="1"/>
  <c r="AB604" i="1"/>
  <c r="AC604" i="1"/>
  <c r="AE604" i="1"/>
  <c r="AF604" i="1"/>
  <c r="AJ604" i="1"/>
  <c r="AK604" i="1"/>
  <c r="AY604" i="1"/>
  <c r="BE604" i="1"/>
  <c r="K605" i="1"/>
  <c r="AG605" i="1"/>
  <c r="M605" i="1"/>
  <c r="U605" i="1"/>
  <c r="W605" i="1"/>
  <c r="X605" i="1"/>
  <c r="AA605" i="1"/>
  <c r="AB605" i="1"/>
  <c r="AC605" i="1"/>
  <c r="AE605" i="1"/>
  <c r="AF605" i="1"/>
  <c r="AJ605" i="1"/>
  <c r="AK605" i="1"/>
  <c r="BD605" i="1"/>
  <c r="Z605" i="1"/>
  <c r="AY605" i="1"/>
  <c r="BE605" i="1"/>
  <c r="K606" i="1"/>
  <c r="AG606" i="1" s="1"/>
  <c r="M606" i="1"/>
  <c r="BA606" i="1" s="1"/>
  <c r="U606" i="1"/>
  <c r="W606" i="1"/>
  <c r="X606" i="1"/>
  <c r="AA606" i="1"/>
  <c r="AB606" i="1"/>
  <c r="AC606" i="1"/>
  <c r="AE606" i="1"/>
  <c r="AF606" i="1"/>
  <c r="AJ606" i="1"/>
  <c r="AK606" i="1"/>
  <c r="BD606" i="1" s="1"/>
  <c r="Z606" i="1" s="1"/>
  <c r="AY606" i="1"/>
  <c r="BE606" i="1"/>
  <c r="K607" i="1"/>
  <c r="AG607" i="1" s="1"/>
  <c r="M607" i="1"/>
  <c r="BA607" i="1"/>
  <c r="U607" i="1"/>
  <c r="W607" i="1"/>
  <c r="X607" i="1"/>
  <c r="AA607" i="1"/>
  <c r="AB607" i="1"/>
  <c r="AC607" i="1"/>
  <c r="AE607" i="1"/>
  <c r="AF607" i="1"/>
  <c r="AJ607" i="1"/>
  <c r="I607" i="1" s="1"/>
  <c r="AK607" i="1"/>
  <c r="BD607" i="1" s="1"/>
  <c r="Z607" i="1" s="1"/>
  <c r="AY607" i="1"/>
  <c r="BE607" i="1"/>
  <c r="K608" i="1"/>
  <c r="AG608" i="1" s="1"/>
  <c r="M608" i="1"/>
  <c r="BA608" i="1"/>
  <c r="U608" i="1"/>
  <c r="W608" i="1"/>
  <c r="X608" i="1"/>
  <c r="AA608" i="1"/>
  <c r="AB608" i="1"/>
  <c r="AC608" i="1"/>
  <c r="AE608" i="1"/>
  <c r="AF608" i="1"/>
  <c r="AJ608" i="1"/>
  <c r="AR608" i="1"/>
  <c r="AK608" i="1"/>
  <c r="AY608" i="1"/>
  <c r="BE608" i="1"/>
  <c r="K609" i="1"/>
  <c r="AG609" i="1" s="1"/>
  <c r="M609" i="1"/>
  <c r="BA609" i="1" s="1"/>
  <c r="U609" i="1"/>
  <c r="W609" i="1"/>
  <c r="X609" i="1"/>
  <c r="AA609" i="1"/>
  <c r="AB609" i="1"/>
  <c r="AC609" i="1"/>
  <c r="AE609" i="1"/>
  <c r="AF609" i="1"/>
  <c r="AJ609" i="1"/>
  <c r="AR609" i="1" s="1"/>
  <c r="AK609" i="1"/>
  <c r="J609" i="1"/>
  <c r="AY609" i="1"/>
  <c r="BE609" i="1"/>
  <c r="K610" i="1"/>
  <c r="AG610" i="1" s="1"/>
  <c r="M610" i="1"/>
  <c r="BA610" i="1" s="1"/>
  <c r="U610" i="1"/>
  <c r="W610" i="1"/>
  <c r="X610" i="1"/>
  <c r="AA610" i="1"/>
  <c r="AB610" i="1"/>
  <c r="AC610" i="1"/>
  <c r="AE610" i="1"/>
  <c r="AF610" i="1"/>
  <c r="AJ610" i="1"/>
  <c r="AK610" i="1"/>
  <c r="AY610" i="1"/>
  <c r="BE610" i="1"/>
  <c r="K611" i="1"/>
  <c r="AG611" i="1" s="1"/>
  <c r="M611" i="1"/>
  <c r="BA611" i="1" s="1"/>
  <c r="U611" i="1"/>
  <c r="W611" i="1"/>
  <c r="X611" i="1"/>
  <c r="AA611" i="1"/>
  <c r="AB611" i="1"/>
  <c r="AC611" i="1"/>
  <c r="AE611" i="1"/>
  <c r="AF611" i="1"/>
  <c r="AJ611" i="1"/>
  <c r="AR611" i="1"/>
  <c r="AK611" i="1"/>
  <c r="BD611" i="1" s="1"/>
  <c r="Z611" i="1" s="1"/>
  <c r="AY611" i="1"/>
  <c r="BE611" i="1"/>
  <c r="K612" i="1"/>
  <c r="AG612" i="1"/>
  <c r="M612" i="1"/>
  <c r="BA612" i="1" s="1"/>
  <c r="U612" i="1"/>
  <c r="W612" i="1"/>
  <c r="X612" i="1"/>
  <c r="AA612" i="1"/>
  <c r="AB612" i="1"/>
  <c r="AC612" i="1"/>
  <c r="AE612" i="1"/>
  <c r="AF612" i="1"/>
  <c r="AJ612" i="1"/>
  <c r="AK612" i="1"/>
  <c r="AS612" i="1" s="1"/>
  <c r="AY612" i="1"/>
  <c r="BE612" i="1"/>
  <c r="K613" i="1"/>
  <c r="AG613" i="1"/>
  <c r="M613" i="1"/>
  <c r="BA613" i="1" s="1"/>
  <c r="U613" i="1"/>
  <c r="W613" i="1"/>
  <c r="X613" i="1"/>
  <c r="AA613" i="1"/>
  <c r="AB613" i="1"/>
  <c r="AC613" i="1"/>
  <c r="AE613" i="1"/>
  <c r="AF613" i="1"/>
  <c r="AJ613" i="1"/>
  <c r="AK613" i="1"/>
  <c r="AY613" i="1"/>
  <c r="BE613" i="1"/>
  <c r="K614" i="1"/>
  <c r="AG614" i="1"/>
  <c r="M614" i="1"/>
  <c r="BA614" i="1" s="1"/>
  <c r="U614" i="1"/>
  <c r="W614" i="1"/>
  <c r="X614" i="1"/>
  <c r="AA614" i="1"/>
  <c r="AB614" i="1"/>
  <c r="AC614" i="1"/>
  <c r="AE614" i="1"/>
  <c r="AF614" i="1"/>
  <c r="AJ614" i="1"/>
  <c r="I614" i="1" s="1"/>
  <c r="AK614" i="1"/>
  <c r="BD614" i="1" s="1"/>
  <c r="Z614" i="1" s="1"/>
  <c r="AY614" i="1"/>
  <c r="BE614" i="1"/>
  <c r="K615" i="1"/>
  <c r="AG615" i="1"/>
  <c r="M615" i="1"/>
  <c r="BA615" i="1"/>
  <c r="U615" i="1"/>
  <c r="W615" i="1"/>
  <c r="X615" i="1"/>
  <c r="AA615" i="1"/>
  <c r="AB615" i="1"/>
  <c r="AC615" i="1"/>
  <c r="AE615" i="1"/>
  <c r="AF615" i="1"/>
  <c r="AJ615" i="1"/>
  <c r="AK615" i="1"/>
  <c r="AY615" i="1"/>
  <c r="BE615" i="1"/>
  <c r="K616" i="1"/>
  <c r="AG616" i="1"/>
  <c r="M616" i="1"/>
  <c r="BA616" i="1"/>
  <c r="U616" i="1"/>
  <c r="W616" i="1"/>
  <c r="X616" i="1"/>
  <c r="AA616" i="1"/>
  <c r="AB616" i="1"/>
  <c r="AC616" i="1"/>
  <c r="AE616" i="1"/>
  <c r="AF616" i="1"/>
  <c r="AJ616" i="1"/>
  <c r="AK616" i="1"/>
  <c r="AY616" i="1"/>
  <c r="BE616" i="1"/>
  <c r="K617" i="1"/>
  <c r="AG617" i="1"/>
  <c r="M617" i="1"/>
  <c r="BA617" i="1"/>
  <c r="U617" i="1"/>
  <c r="W617" i="1"/>
  <c r="X617" i="1"/>
  <c r="AA617" i="1"/>
  <c r="AB617" i="1"/>
  <c r="AC617" i="1"/>
  <c r="AE617" i="1"/>
  <c r="AF617" i="1"/>
  <c r="AJ617" i="1"/>
  <c r="AR617" i="1" s="1"/>
  <c r="AK617" i="1"/>
  <c r="AY617" i="1"/>
  <c r="BE617" i="1"/>
  <c r="K618" i="1"/>
  <c r="AG618" i="1" s="1"/>
  <c r="M618" i="1"/>
  <c r="BA618" i="1" s="1"/>
  <c r="U618" i="1"/>
  <c r="W618" i="1"/>
  <c r="X618" i="1"/>
  <c r="AA618" i="1"/>
  <c r="AB618" i="1"/>
  <c r="AC618" i="1"/>
  <c r="AE618" i="1"/>
  <c r="AF618" i="1"/>
  <c r="AJ618" i="1"/>
  <c r="AK618" i="1"/>
  <c r="AY618" i="1"/>
  <c r="BE618" i="1"/>
  <c r="K619" i="1"/>
  <c r="AG619" i="1" s="1"/>
  <c r="M619" i="1"/>
  <c r="BA619" i="1" s="1"/>
  <c r="U619" i="1"/>
  <c r="W619" i="1"/>
  <c r="X619" i="1"/>
  <c r="AA619" i="1"/>
  <c r="AB619" i="1"/>
  <c r="AC619" i="1"/>
  <c r="AE619" i="1"/>
  <c r="AF619" i="1"/>
  <c r="AJ619" i="1"/>
  <c r="AK619" i="1"/>
  <c r="BD619" i="1" s="1"/>
  <c r="Z619" i="1" s="1"/>
  <c r="AY619" i="1"/>
  <c r="BE619" i="1"/>
  <c r="K620" i="1"/>
  <c r="AG620" i="1" s="1"/>
  <c r="M620" i="1"/>
  <c r="BA620" i="1"/>
  <c r="U620" i="1"/>
  <c r="W620" i="1"/>
  <c r="X620" i="1"/>
  <c r="AA620" i="1"/>
  <c r="AB620" i="1"/>
  <c r="AC620" i="1"/>
  <c r="AE620" i="1"/>
  <c r="AF620" i="1"/>
  <c r="AJ620" i="1"/>
  <c r="AR620" i="1" s="1"/>
  <c r="AK620" i="1"/>
  <c r="BD620" i="1" s="1"/>
  <c r="Z620" i="1" s="1"/>
  <c r="AY620" i="1"/>
  <c r="BE620" i="1"/>
  <c r="K621" i="1"/>
  <c r="AG621" i="1" s="1"/>
  <c r="M621" i="1"/>
  <c r="BA621" i="1"/>
  <c r="U621" i="1"/>
  <c r="W621" i="1"/>
  <c r="X621" i="1"/>
  <c r="AA621" i="1"/>
  <c r="AB621" i="1"/>
  <c r="AC621" i="1"/>
  <c r="AE621" i="1"/>
  <c r="AF621" i="1"/>
  <c r="AJ621" i="1"/>
  <c r="AK621" i="1"/>
  <c r="BD621" i="1" s="1"/>
  <c r="Z621" i="1" s="1"/>
  <c r="AY621" i="1"/>
  <c r="BE621" i="1"/>
  <c r="K622" i="1"/>
  <c r="AG622" i="1"/>
  <c r="M622" i="1"/>
  <c r="BA622" i="1"/>
  <c r="U622" i="1"/>
  <c r="W622" i="1"/>
  <c r="X622" i="1"/>
  <c r="AA622" i="1"/>
  <c r="AB622" i="1"/>
  <c r="AC622" i="1"/>
  <c r="AE622" i="1"/>
  <c r="AF622" i="1"/>
  <c r="AJ622" i="1"/>
  <c r="AK622" i="1"/>
  <c r="AY622" i="1"/>
  <c r="BE622" i="1"/>
  <c r="K623" i="1"/>
  <c r="AG623" i="1"/>
  <c r="M623" i="1"/>
  <c r="BA623" i="1"/>
  <c r="U623" i="1"/>
  <c r="W623" i="1"/>
  <c r="X623" i="1"/>
  <c r="AA623" i="1"/>
  <c r="AB623" i="1"/>
  <c r="AC623" i="1"/>
  <c r="AE623" i="1"/>
  <c r="AF623" i="1"/>
  <c r="AJ623" i="1"/>
  <c r="AR623" i="1"/>
  <c r="AK623" i="1"/>
  <c r="BD623" i="1" s="1"/>
  <c r="Z623" i="1" s="1"/>
  <c r="AY623" i="1"/>
  <c r="BE623" i="1"/>
  <c r="K624" i="1"/>
  <c r="AG624" i="1" s="1"/>
  <c r="M624" i="1"/>
  <c r="BA624" i="1"/>
  <c r="U624" i="1"/>
  <c r="W624" i="1"/>
  <c r="X624" i="1"/>
  <c r="AA624" i="1"/>
  <c r="AB624" i="1"/>
  <c r="AC624" i="1"/>
  <c r="AE624" i="1"/>
  <c r="AF624" i="1"/>
  <c r="AJ624" i="1"/>
  <c r="AK624" i="1"/>
  <c r="BD624" i="1"/>
  <c r="Z624" i="1" s="1"/>
  <c r="AY624" i="1"/>
  <c r="BE624" i="1"/>
  <c r="K625" i="1"/>
  <c r="AG625" i="1"/>
  <c r="M625" i="1"/>
  <c r="BA625" i="1" s="1"/>
  <c r="U625" i="1"/>
  <c r="W625" i="1"/>
  <c r="X625" i="1"/>
  <c r="AA625" i="1"/>
  <c r="AB625" i="1"/>
  <c r="AC625" i="1"/>
  <c r="AE625" i="1"/>
  <c r="AF625" i="1"/>
  <c r="AJ625" i="1"/>
  <c r="I625" i="1" s="1"/>
  <c r="AK625" i="1"/>
  <c r="AS625" i="1" s="1"/>
  <c r="AY625" i="1"/>
  <c r="BE625" i="1"/>
  <c r="K626" i="1"/>
  <c r="AG626" i="1" s="1"/>
  <c r="M626" i="1"/>
  <c r="BA626" i="1" s="1"/>
  <c r="U626" i="1"/>
  <c r="W626" i="1"/>
  <c r="X626" i="1"/>
  <c r="AA626" i="1"/>
  <c r="AB626" i="1"/>
  <c r="AC626" i="1"/>
  <c r="AE626" i="1"/>
  <c r="AF626" i="1"/>
  <c r="AJ626" i="1"/>
  <c r="I626" i="1" s="1"/>
  <c r="AK626" i="1"/>
  <c r="J626" i="1"/>
  <c r="AY626" i="1"/>
  <c r="BE626" i="1"/>
  <c r="K627" i="1"/>
  <c r="AG627" i="1" s="1"/>
  <c r="M627" i="1"/>
  <c r="BA627" i="1" s="1"/>
  <c r="U627" i="1"/>
  <c r="W627" i="1"/>
  <c r="X627" i="1"/>
  <c r="AA627" i="1"/>
  <c r="AB627" i="1"/>
  <c r="AC627" i="1"/>
  <c r="AE627" i="1"/>
  <c r="AF627" i="1"/>
  <c r="AJ627" i="1"/>
  <c r="AK627" i="1"/>
  <c r="AS627" i="1" s="1"/>
  <c r="AY627" i="1"/>
  <c r="BE627" i="1"/>
  <c r="K628" i="1"/>
  <c r="AG628" i="1"/>
  <c r="M628" i="1"/>
  <c r="BA628" i="1"/>
  <c r="U628" i="1"/>
  <c r="W628" i="1"/>
  <c r="X628" i="1"/>
  <c r="AA628" i="1"/>
  <c r="AB628" i="1"/>
  <c r="AC628" i="1"/>
  <c r="AE628" i="1"/>
  <c r="AF628" i="1"/>
  <c r="AJ628" i="1"/>
  <c r="I628" i="1" s="1"/>
  <c r="AK628" i="1"/>
  <c r="J628" i="1"/>
  <c r="AY628" i="1"/>
  <c r="BE628" i="1"/>
  <c r="K629" i="1"/>
  <c r="AG629" i="1"/>
  <c r="M629" i="1"/>
  <c r="BA629" i="1" s="1"/>
  <c r="U629" i="1"/>
  <c r="W629" i="1"/>
  <c r="X629" i="1"/>
  <c r="AA629" i="1"/>
  <c r="AB629" i="1"/>
  <c r="AC629" i="1"/>
  <c r="AE629" i="1"/>
  <c r="AF629" i="1"/>
  <c r="AJ629" i="1"/>
  <c r="AK629" i="1"/>
  <c r="AY629" i="1"/>
  <c r="BE629" i="1"/>
  <c r="K630" i="1"/>
  <c r="AG630" i="1"/>
  <c r="M630" i="1"/>
  <c r="BA630" i="1" s="1"/>
  <c r="U630" i="1"/>
  <c r="W630" i="1"/>
  <c r="X630" i="1"/>
  <c r="AA630" i="1"/>
  <c r="AB630" i="1"/>
  <c r="AC630" i="1"/>
  <c r="AE630" i="1"/>
  <c r="AF630" i="1"/>
  <c r="AJ630" i="1"/>
  <c r="AR630" i="1"/>
  <c r="AK630" i="1"/>
  <c r="J630" i="1"/>
  <c r="AY630" i="1"/>
  <c r="BE630" i="1"/>
  <c r="K631" i="1"/>
  <c r="AG631" i="1" s="1"/>
  <c r="M631" i="1"/>
  <c r="BA631" i="1"/>
  <c r="U631" i="1"/>
  <c r="W631" i="1"/>
  <c r="X631" i="1"/>
  <c r="AA631" i="1"/>
  <c r="AB631" i="1"/>
  <c r="AC631" i="1"/>
  <c r="AE631" i="1"/>
  <c r="AF631" i="1"/>
  <c r="AJ631" i="1"/>
  <c r="I631" i="1"/>
  <c r="AK631" i="1"/>
  <c r="AS631" i="1"/>
  <c r="AY631" i="1"/>
  <c r="BE631" i="1"/>
  <c r="K632" i="1"/>
  <c r="AG632" i="1"/>
  <c r="M632" i="1"/>
  <c r="BA632" i="1"/>
  <c r="U632" i="1"/>
  <c r="W632" i="1"/>
  <c r="X632" i="1"/>
  <c r="AA632" i="1"/>
  <c r="AB632" i="1"/>
  <c r="AC632" i="1"/>
  <c r="AE632" i="1"/>
  <c r="AF632" i="1"/>
  <c r="AJ632" i="1"/>
  <c r="AK632" i="1"/>
  <c r="AS632" i="1"/>
  <c r="AY632" i="1"/>
  <c r="BE632" i="1"/>
  <c r="K633" i="1"/>
  <c r="AG633" i="1" s="1"/>
  <c r="M633" i="1"/>
  <c r="BA633" i="1" s="1"/>
  <c r="U633" i="1"/>
  <c r="W633" i="1"/>
  <c r="X633" i="1"/>
  <c r="AA633" i="1"/>
  <c r="AB633" i="1"/>
  <c r="AC633" i="1"/>
  <c r="AE633" i="1"/>
  <c r="AF633" i="1"/>
  <c r="AJ633" i="1"/>
  <c r="BC633" i="1"/>
  <c r="Y633" i="1" s="1"/>
  <c r="AK633" i="1"/>
  <c r="BD633" i="1"/>
  <c r="Z633" i="1" s="1"/>
  <c r="AY633" i="1"/>
  <c r="BE633" i="1"/>
  <c r="K634" i="1"/>
  <c r="AG634" i="1"/>
  <c r="M634" i="1"/>
  <c r="BA634" i="1" s="1"/>
  <c r="U634" i="1"/>
  <c r="W634" i="1"/>
  <c r="X634" i="1"/>
  <c r="AA634" i="1"/>
  <c r="AB634" i="1"/>
  <c r="AC634" i="1"/>
  <c r="AE634" i="1"/>
  <c r="AF634" i="1"/>
  <c r="AJ634" i="1"/>
  <c r="AR634" i="1" s="1"/>
  <c r="AK634" i="1"/>
  <c r="AY634" i="1"/>
  <c r="BE634" i="1"/>
  <c r="K635" i="1"/>
  <c r="AG635" i="1" s="1"/>
  <c r="M635" i="1"/>
  <c r="BA635" i="1"/>
  <c r="U635" i="1"/>
  <c r="W635" i="1"/>
  <c r="X635" i="1"/>
  <c r="AA635" i="1"/>
  <c r="AB635" i="1"/>
  <c r="AC635" i="1"/>
  <c r="AE635" i="1"/>
  <c r="AF635" i="1"/>
  <c r="AJ635" i="1"/>
  <c r="AR635" i="1"/>
  <c r="AK635" i="1"/>
  <c r="BD635" i="1"/>
  <c r="Z635" i="1"/>
  <c r="AY635" i="1"/>
  <c r="BE635" i="1"/>
  <c r="K636" i="1"/>
  <c r="AG636" i="1" s="1"/>
  <c r="M636" i="1"/>
  <c r="BA636" i="1" s="1"/>
  <c r="U636" i="1"/>
  <c r="W636" i="1"/>
  <c r="X636" i="1"/>
  <c r="AA636" i="1"/>
  <c r="AB636" i="1"/>
  <c r="AC636" i="1"/>
  <c r="AE636" i="1"/>
  <c r="AF636" i="1"/>
  <c r="AJ636" i="1"/>
  <c r="AR636" i="1"/>
  <c r="AK636" i="1"/>
  <c r="BD636" i="1" s="1"/>
  <c r="Z636" i="1" s="1"/>
  <c r="AY636" i="1"/>
  <c r="BE636" i="1"/>
  <c r="K637" i="1"/>
  <c r="AG637" i="1"/>
  <c r="M637" i="1"/>
  <c r="BA637" i="1" s="1"/>
  <c r="U637" i="1"/>
  <c r="W637" i="1"/>
  <c r="X637" i="1"/>
  <c r="AA637" i="1"/>
  <c r="AB637" i="1"/>
  <c r="AC637" i="1"/>
  <c r="AE637" i="1"/>
  <c r="AF637" i="1"/>
  <c r="AJ637" i="1"/>
  <c r="I637" i="1"/>
  <c r="AK637" i="1"/>
  <c r="BD637" i="1" s="1"/>
  <c r="Z637" i="1" s="1"/>
  <c r="AY637" i="1"/>
  <c r="BE637" i="1"/>
  <c r="K638" i="1"/>
  <c r="AG638" i="1" s="1"/>
  <c r="M638" i="1"/>
  <c r="BA638" i="1" s="1"/>
  <c r="U638" i="1"/>
  <c r="W638" i="1"/>
  <c r="X638" i="1"/>
  <c r="AA638" i="1"/>
  <c r="AB638" i="1"/>
  <c r="AC638" i="1"/>
  <c r="AE638" i="1"/>
  <c r="AF638" i="1"/>
  <c r="AJ638" i="1"/>
  <c r="AK638" i="1"/>
  <c r="BD638" i="1" s="1"/>
  <c r="Z638" i="1"/>
  <c r="AY638" i="1"/>
  <c r="BE638" i="1"/>
  <c r="K639" i="1"/>
  <c r="AG639" i="1" s="1"/>
  <c r="M639" i="1"/>
  <c r="BA639" i="1" s="1"/>
  <c r="U639" i="1"/>
  <c r="W639" i="1"/>
  <c r="X639" i="1"/>
  <c r="AA639" i="1"/>
  <c r="AB639" i="1"/>
  <c r="AC639" i="1"/>
  <c r="AE639" i="1"/>
  <c r="AF639" i="1"/>
  <c r="AJ639" i="1"/>
  <c r="AK639" i="1"/>
  <c r="AY639" i="1"/>
  <c r="BE639" i="1"/>
  <c r="K640" i="1"/>
  <c r="AG640" i="1" s="1"/>
  <c r="M640" i="1"/>
  <c r="BA640" i="1" s="1"/>
  <c r="U640" i="1"/>
  <c r="W640" i="1"/>
  <c r="X640" i="1"/>
  <c r="AA640" i="1"/>
  <c r="AB640" i="1"/>
  <c r="AC640" i="1"/>
  <c r="AE640" i="1"/>
  <c r="AF640" i="1"/>
  <c r="AJ640" i="1"/>
  <c r="AR640" i="1"/>
  <c r="AK640" i="1"/>
  <c r="AY640" i="1"/>
  <c r="BE640" i="1"/>
  <c r="K641" i="1"/>
  <c r="AG641" i="1" s="1"/>
  <c r="M641" i="1"/>
  <c r="BA641" i="1"/>
  <c r="U641" i="1"/>
  <c r="W641" i="1"/>
  <c r="X641" i="1"/>
  <c r="AA641" i="1"/>
  <c r="AB641" i="1"/>
  <c r="AC641" i="1"/>
  <c r="AE641" i="1"/>
  <c r="AF641" i="1"/>
  <c r="AJ641" i="1"/>
  <c r="AR641" i="1" s="1"/>
  <c r="AK641" i="1"/>
  <c r="AS641" i="1"/>
  <c r="AY641" i="1"/>
  <c r="BE641" i="1"/>
  <c r="K642" i="1"/>
  <c r="AG642" i="1"/>
  <c r="M642" i="1"/>
  <c r="BA642" i="1" s="1"/>
  <c r="U642" i="1"/>
  <c r="W642" i="1"/>
  <c r="X642" i="1"/>
  <c r="AA642" i="1"/>
  <c r="AB642" i="1"/>
  <c r="AC642" i="1"/>
  <c r="AE642" i="1"/>
  <c r="AF642" i="1"/>
  <c r="AJ642" i="1"/>
  <c r="AR642" i="1"/>
  <c r="AK642" i="1"/>
  <c r="AS642" i="1" s="1"/>
  <c r="AY642" i="1"/>
  <c r="BE642" i="1"/>
  <c r="K643" i="1"/>
  <c r="AG643" i="1" s="1"/>
  <c r="M643" i="1"/>
  <c r="BA643" i="1"/>
  <c r="U643" i="1"/>
  <c r="W643" i="1"/>
  <c r="X643" i="1"/>
  <c r="AA643" i="1"/>
  <c r="AB643" i="1"/>
  <c r="AC643" i="1"/>
  <c r="AE643" i="1"/>
  <c r="AF643" i="1"/>
  <c r="AJ643" i="1"/>
  <c r="BC643" i="1" s="1"/>
  <c r="Y643" i="1" s="1"/>
  <c r="AK643" i="1"/>
  <c r="AY643" i="1"/>
  <c r="BE643" i="1"/>
  <c r="K644" i="1"/>
  <c r="AG644" i="1"/>
  <c r="M644" i="1"/>
  <c r="BA644" i="1" s="1"/>
  <c r="U644" i="1"/>
  <c r="W644" i="1"/>
  <c r="X644" i="1"/>
  <c r="AA644" i="1"/>
  <c r="AB644" i="1"/>
  <c r="AC644" i="1"/>
  <c r="AE644" i="1"/>
  <c r="AF644" i="1"/>
  <c r="AJ644" i="1"/>
  <c r="BC644" i="1"/>
  <c r="Y644" i="1"/>
  <c r="AK644" i="1"/>
  <c r="AS644" i="1" s="1"/>
  <c r="AY644" i="1"/>
  <c r="BE644" i="1"/>
  <c r="K645" i="1"/>
  <c r="AG645" i="1"/>
  <c r="M645" i="1"/>
  <c r="BA645" i="1"/>
  <c r="U645" i="1"/>
  <c r="W645" i="1"/>
  <c r="X645" i="1"/>
  <c r="AA645" i="1"/>
  <c r="AB645" i="1"/>
  <c r="AC645" i="1"/>
  <c r="AE645" i="1"/>
  <c r="AF645" i="1"/>
  <c r="AJ645" i="1"/>
  <c r="I645" i="1" s="1"/>
  <c r="AK645" i="1"/>
  <c r="J645" i="1" s="1"/>
  <c r="AY645" i="1"/>
  <c r="BE645" i="1"/>
  <c r="K646" i="1"/>
  <c r="AG646" i="1"/>
  <c r="M646" i="1"/>
  <c r="BA646" i="1" s="1"/>
  <c r="U646" i="1"/>
  <c r="W646" i="1"/>
  <c r="X646" i="1"/>
  <c r="AA646" i="1"/>
  <c r="AB646" i="1"/>
  <c r="AC646" i="1"/>
  <c r="AE646" i="1"/>
  <c r="AF646" i="1"/>
  <c r="AJ646" i="1"/>
  <c r="AR646" i="1" s="1"/>
  <c r="AK646" i="1"/>
  <c r="AS646" i="1" s="1"/>
  <c r="AY646" i="1"/>
  <c r="BE646" i="1"/>
  <c r="K647" i="1"/>
  <c r="AG647" i="1" s="1"/>
  <c r="M647" i="1"/>
  <c r="BA647" i="1" s="1"/>
  <c r="U647" i="1"/>
  <c r="W647" i="1"/>
  <c r="X647" i="1"/>
  <c r="AA647" i="1"/>
  <c r="AB647" i="1"/>
  <c r="AC647" i="1"/>
  <c r="AE647" i="1"/>
  <c r="AF647" i="1"/>
  <c r="AJ647" i="1"/>
  <c r="AR647" i="1"/>
  <c r="AK647" i="1"/>
  <c r="AY647" i="1"/>
  <c r="BE647" i="1"/>
  <c r="K649" i="1"/>
  <c r="AG649" i="1"/>
  <c r="M649" i="1"/>
  <c r="BA649" i="1" s="1"/>
  <c r="U649" i="1"/>
  <c r="W649" i="1"/>
  <c r="X649" i="1"/>
  <c r="AA649" i="1"/>
  <c r="AB649" i="1"/>
  <c r="AC649" i="1"/>
  <c r="AE649" i="1"/>
  <c r="AF649" i="1"/>
  <c r="AJ649" i="1"/>
  <c r="I649" i="1" s="1"/>
  <c r="AK649" i="1"/>
  <c r="AY649" i="1"/>
  <c r="BE649" i="1"/>
  <c r="K650" i="1"/>
  <c r="AG650" i="1" s="1"/>
  <c r="M650" i="1"/>
  <c r="BA650" i="1" s="1"/>
  <c r="U650" i="1"/>
  <c r="W650" i="1"/>
  <c r="X650" i="1"/>
  <c r="AA650" i="1"/>
  <c r="AB650" i="1"/>
  <c r="AC650" i="1"/>
  <c r="AE650" i="1"/>
  <c r="AF650" i="1"/>
  <c r="AJ650" i="1"/>
  <c r="AR650" i="1"/>
  <c r="AK650" i="1"/>
  <c r="AY650" i="1"/>
  <c r="BE650" i="1"/>
  <c r="K651" i="1"/>
  <c r="AG651" i="1"/>
  <c r="M651" i="1"/>
  <c r="BA651" i="1" s="1"/>
  <c r="U651" i="1"/>
  <c r="W651" i="1"/>
  <c r="X651" i="1"/>
  <c r="AA651" i="1"/>
  <c r="AB651" i="1"/>
  <c r="AC651" i="1"/>
  <c r="AE651" i="1"/>
  <c r="AF651" i="1"/>
  <c r="AJ651" i="1"/>
  <c r="AR651" i="1" s="1"/>
  <c r="AK651" i="1"/>
  <c r="AS651" i="1"/>
  <c r="AY651" i="1"/>
  <c r="BE651" i="1"/>
  <c r="K652" i="1"/>
  <c r="AG652" i="1"/>
  <c r="M652" i="1"/>
  <c r="U652" i="1"/>
  <c r="W652" i="1"/>
  <c r="X652" i="1"/>
  <c r="AA652" i="1"/>
  <c r="AB652" i="1"/>
  <c r="AC652" i="1"/>
  <c r="AE652" i="1"/>
  <c r="AF652" i="1"/>
  <c r="AJ652" i="1"/>
  <c r="I652" i="1" s="1"/>
  <c r="AK652" i="1"/>
  <c r="AY652" i="1"/>
  <c r="BE652" i="1"/>
  <c r="K653" i="1"/>
  <c r="M653" i="1"/>
  <c r="BA653" i="1"/>
  <c r="U653" i="1"/>
  <c r="W653" i="1"/>
  <c r="X653" i="1"/>
  <c r="AA653" i="1"/>
  <c r="AB653" i="1"/>
  <c r="AC653" i="1"/>
  <c r="AE653" i="1"/>
  <c r="AF653" i="1"/>
  <c r="AJ653" i="1"/>
  <c r="BC653" i="1" s="1"/>
  <c r="Y653" i="1"/>
  <c r="AK653" i="1"/>
  <c r="J653" i="1"/>
  <c r="AY653" i="1"/>
  <c r="BE653" i="1"/>
  <c r="K654" i="1"/>
  <c r="AG654" i="1" s="1"/>
  <c r="M654" i="1"/>
  <c r="BA654" i="1"/>
  <c r="U654" i="1"/>
  <c r="W654" i="1"/>
  <c r="X654" i="1"/>
  <c r="AA654" i="1"/>
  <c r="AB654" i="1"/>
  <c r="AC654" i="1"/>
  <c r="AE654" i="1"/>
  <c r="AF654" i="1"/>
  <c r="AJ654" i="1"/>
  <c r="I654" i="1"/>
  <c r="AK654" i="1"/>
  <c r="AY654" i="1"/>
  <c r="BE654" i="1"/>
  <c r="K655" i="1"/>
  <c r="AG655" i="1" s="1"/>
  <c r="M655" i="1"/>
  <c r="BA655" i="1" s="1"/>
  <c r="U655" i="1"/>
  <c r="W655" i="1"/>
  <c r="X655" i="1"/>
  <c r="AA655" i="1"/>
  <c r="AB655" i="1"/>
  <c r="AC655" i="1"/>
  <c r="AE655" i="1"/>
  <c r="AF655" i="1"/>
  <c r="AJ655" i="1"/>
  <c r="I655" i="1" s="1"/>
  <c r="AK655" i="1"/>
  <c r="AY655" i="1"/>
  <c r="BE655" i="1"/>
  <c r="K656" i="1"/>
  <c r="AG656" i="1"/>
  <c r="M656" i="1"/>
  <c r="BA656" i="1"/>
  <c r="U656" i="1"/>
  <c r="W656" i="1"/>
  <c r="X656" i="1"/>
  <c r="AA656" i="1"/>
  <c r="AB656" i="1"/>
  <c r="AC656" i="1"/>
  <c r="AE656" i="1"/>
  <c r="AF656" i="1"/>
  <c r="AJ656" i="1"/>
  <c r="AK656" i="1"/>
  <c r="AS656" i="1"/>
  <c r="AY656" i="1"/>
  <c r="BE656" i="1"/>
  <c r="K657" i="1"/>
  <c r="AG657" i="1" s="1"/>
  <c r="M657" i="1"/>
  <c r="BA657" i="1" s="1"/>
  <c r="U657" i="1"/>
  <c r="W657" i="1"/>
  <c r="X657" i="1"/>
  <c r="AA657" i="1"/>
  <c r="AB657" i="1"/>
  <c r="AC657" i="1"/>
  <c r="AE657" i="1"/>
  <c r="AF657" i="1"/>
  <c r="AJ657" i="1"/>
  <c r="AK657" i="1"/>
  <c r="BD657" i="1" s="1"/>
  <c r="Z657" i="1" s="1"/>
  <c r="AY657" i="1"/>
  <c r="BE657" i="1"/>
  <c r="K658" i="1"/>
  <c r="AG658" i="1"/>
  <c r="M658" i="1"/>
  <c r="BA658" i="1"/>
  <c r="U658" i="1"/>
  <c r="W658" i="1"/>
  <c r="X658" i="1"/>
  <c r="AA658" i="1"/>
  <c r="AB658" i="1"/>
  <c r="AC658" i="1"/>
  <c r="AE658" i="1"/>
  <c r="AF658" i="1"/>
  <c r="AJ658" i="1"/>
  <c r="I658" i="1" s="1"/>
  <c r="AK658" i="1"/>
  <c r="AY658" i="1"/>
  <c r="BE658" i="1"/>
  <c r="K659" i="1"/>
  <c r="M659" i="1"/>
  <c r="BA659" i="1"/>
  <c r="U659" i="1"/>
  <c r="W659" i="1"/>
  <c r="X659" i="1"/>
  <c r="AA659" i="1"/>
  <c r="AB659" i="1"/>
  <c r="AC659" i="1"/>
  <c r="AE659" i="1"/>
  <c r="AF659" i="1"/>
  <c r="AJ659" i="1"/>
  <c r="AK659" i="1"/>
  <c r="AY659" i="1"/>
  <c r="BE659" i="1"/>
  <c r="K660" i="1"/>
  <c r="AG660" i="1"/>
  <c r="M660" i="1"/>
  <c r="BA660" i="1"/>
  <c r="U660" i="1"/>
  <c r="W660" i="1"/>
  <c r="X660" i="1"/>
  <c r="AA660" i="1"/>
  <c r="AB660" i="1"/>
  <c r="AC660" i="1"/>
  <c r="AE660" i="1"/>
  <c r="AF660" i="1"/>
  <c r="AJ660" i="1"/>
  <c r="AR660" i="1" s="1"/>
  <c r="AQ660" i="1" s="1"/>
  <c r="AK660" i="1"/>
  <c r="AS660" i="1"/>
  <c r="AY660" i="1"/>
  <c r="BE660" i="1"/>
  <c r="K661" i="1"/>
  <c r="AG661" i="1" s="1"/>
  <c r="M661" i="1"/>
  <c r="U661" i="1"/>
  <c r="W661" i="1"/>
  <c r="X661" i="1"/>
  <c r="AA661" i="1"/>
  <c r="AB661" i="1"/>
  <c r="AC661" i="1"/>
  <c r="AE661" i="1"/>
  <c r="AF661" i="1"/>
  <c r="AJ661" i="1"/>
  <c r="I661" i="1" s="1"/>
  <c r="AK661" i="1"/>
  <c r="AY661" i="1"/>
  <c r="BE661" i="1"/>
  <c r="K662" i="1"/>
  <c r="AG662" i="1" s="1"/>
  <c r="M662" i="1"/>
  <c r="BA662" i="1"/>
  <c r="U662" i="1"/>
  <c r="W662" i="1"/>
  <c r="X662" i="1"/>
  <c r="AA662" i="1"/>
  <c r="AB662" i="1"/>
  <c r="AC662" i="1"/>
  <c r="AE662" i="1"/>
  <c r="AF662" i="1"/>
  <c r="AJ662" i="1"/>
  <c r="I662" i="1"/>
  <c r="AK662" i="1"/>
  <c r="BD662" i="1" s="1"/>
  <c r="Z662" i="1"/>
  <c r="AY662" i="1"/>
  <c r="BE662" i="1"/>
  <c r="K663" i="1"/>
  <c r="AG663" i="1" s="1"/>
  <c r="M663" i="1"/>
  <c r="BA663" i="1" s="1"/>
  <c r="U663" i="1"/>
  <c r="W663" i="1"/>
  <c r="X663" i="1"/>
  <c r="AA663" i="1"/>
  <c r="AB663" i="1"/>
  <c r="AC663" i="1"/>
  <c r="AE663" i="1"/>
  <c r="AF663" i="1"/>
  <c r="AJ663" i="1"/>
  <c r="AR663" i="1"/>
  <c r="AK663" i="1"/>
  <c r="J663" i="1" s="1"/>
  <c r="AY663" i="1"/>
  <c r="BE663" i="1"/>
  <c r="K664" i="1"/>
  <c r="AG664" i="1" s="1"/>
  <c r="M664" i="1"/>
  <c r="BA664" i="1"/>
  <c r="U664" i="1"/>
  <c r="W664" i="1"/>
  <c r="X664" i="1"/>
  <c r="AA664" i="1"/>
  <c r="AB664" i="1"/>
  <c r="AC664" i="1"/>
  <c r="AE664" i="1"/>
  <c r="AF664" i="1"/>
  <c r="AJ664" i="1"/>
  <c r="BC664" i="1" s="1"/>
  <c r="Y664" i="1" s="1"/>
  <c r="AK664" i="1"/>
  <c r="BD664" i="1"/>
  <c r="Z664" i="1"/>
  <c r="AY664" i="1"/>
  <c r="BE664" i="1"/>
  <c r="K665" i="1"/>
  <c r="AG665" i="1" s="1"/>
  <c r="M665" i="1"/>
  <c r="BA665" i="1" s="1"/>
  <c r="U665" i="1"/>
  <c r="W665" i="1"/>
  <c r="X665" i="1"/>
  <c r="AA665" i="1"/>
  <c r="AB665" i="1"/>
  <c r="AC665" i="1"/>
  <c r="AE665" i="1"/>
  <c r="AF665" i="1"/>
  <c r="AJ665" i="1"/>
  <c r="AK665" i="1"/>
  <c r="AY665" i="1"/>
  <c r="BE665" i="1"/>
  <c r="K666" i="1"/>
  <c r="AG666" i="1" s="1"/>
  <c r="M666" i="1"/>
  <c r="BA666" i="1" s="1"/>
  <c r="U666" i="1"/>
  <c r="W666" i="1"/>
  <c r="X666" i="1"/>
  <c r="AA666" i="1"/>
  <c r="AB666" i="1"/>
  <c r="AC666" i="1"/>
  <c r="AE666" i="1"/>
  <c r="AF666" i="1"/>
  <c r="AJ666" i="1"/>
  <c r="I666" i="1"/>
  <c r="AK666" i="1"/>
  <c r="AY666" i="1"/>
  <c r="BE666" i="1"/>
  <c r="K667" i="1"/>
  <c r="AG667" i="1"/>
  <c r="M667" i="1"/>
  <c r="BA667" i="1"/>
  <c r="U667" i="1"/>
  <c r="W667" i="1"/>
  <c r="X667" i="1"/>
  <c r="AA667" i="1"/>
  <c r="AB667" i="1"/>
  <c r="AC667" i="1"/>
  <c r="AE667" i="1"/>
  <c r="AF667" i="1"/>
  <c r="AJ667" i="1"/>
  <c r="I667" i="1" s="1"/>
  <c r="AK667" i="1"/>
  <c r="AS667" i="1" s="1"/>
  <c r="AY667" i="1"/>
  <c r="BE667" i="1"/>
  <c r="K668" i="1"/>
  <c r="AG668" i="1"/>
  <c r="M668" i="1"/>
  <c r="BA668" i="1" s="1"/>
  <c r="U668" i="1"/>
  <c r="W668" i="1"/>
  <c r="X668" i="1"/>
  <c r="AA668" i="1"/>
  <c r="AB668" i="1"/>
  <c r="AC668" i="1"/>
  <c r="AE668" i="1"/>
  <c r="AF668" i="1"/>
  <c r="AJ668" i="1"/>
  <c r="AR668" i="1" s="1"/>
  <c r="AK668" i="1"/>
  <c r="BD668" i="1"/>
  <c r="Z668" i="1" s="1"/>
  <c r="AY668" i="1"/>
  <c r="BE668" i="1"/>
  <c r="K670" i="1"/>
  <c r="AG670" i="1"/>
  <c r="M670" i="1"/>
  <c r="BA670" i="1" s="1"/>
  <c r="U670" i="1"/>
  <c r="W670" i="1"/>
  <c r="X670" i="1"/>
  <c r="AA670" i="1"/>
  <c r="AB670" i="1"/>
  <c r="AC670" i="1"/>
  <c r="AE670" i="1"/>
  <c r="AF670" i="1"/>
  <c r="AJ670" i="1"/>
  <c r="AK670" i="1"/>
  <c r="J670" i="1"/>
  <c r="AY670" i="1"/>
  <c r="BE670" i="1"/>
  <c r="K671" i="1"/>
  <c r="AG671" i="1" s="1"/>
  <c r="M671" i="1"/>
  <c r="BA671" i="1"/>
  <c r="U671" i="1"/>
  <c r="W671" i="1"/>
  <c r="X671" i="1"/>
  <c r="AA671" i="1"/>
  <c r="AB671" i="1"/>
  <c r="AC671" i="1"/>
  <c r="AE671" i="1"/>
  <c r="AF671" i="1"/>
  <c r="AJ671" i="1"/>
  <c r="I671" i="1"/>
  <c r="AK671" i="1"/>
  <c r="BD671" i="1" s="1"/>
  <c r="Z671" i="1" s="1"/>
  <c r="AY671" i="1"/>
  <c r="BE671" i="1"/>
  <c r="K672" i="1"/>
  <c r="M672" i="1"/>
  <c r="BA672" i="1"/>
  <c r="U672" i="1"/>
  <c r="W672" i="1"/>
  <c r="X672" i="1"/>
  <c r="AA672" i="1"/>
  <c r="AB672" i="1"/>
  <c r="AC672" i="1"/>
  <c r="AE672" i="1"/>
  <c r="AF672" i="1"/>
  <c r="AJ672" i="1"/>
  <c r="AK672" i="1"/>
  <c r="AY672" i="1"/>
  <c r="BE672" i="1"/>
  <c r="K673" i="1"/>
  <c r="AG673" i="1"/>
  <c r="M673" i="1"/>
  <c r="BA673" i="1"/>
  <c r="U673" i="1"/>
  <c r="W673" i="1"/>
  <c r="X673" i="1"/>
  <c r="AA673" i="1"/>
  <c r="AB673" i="1"/>
  <c r="AC673" i="1"/>
  <c r="AE673" i="1"/>
  <c r="AF673" i="1"/>
  <c r="AJ673" i="1"/>
  <c r="AR673" i="1"/>
  <c r="AK673" i="1"/>
  <c r="AS673" i="1" s="1"/>
  <c r="AY673" i="1"/>
  <c r="BE673" i="1"/>
  <c r="K674" i="1"/>
  <c r="AG674" i="1"/>
  <c r="M674" i="1"/>
  <c r="BA674" i="1"/>
  <c r="U674" i="1"/>
  <c r="W674" i="1"/>
  <c r="X674" i="1"/>
  <c r="AA674" i="1"/>
  <c r="AB674" i="1"/>
  <c r="AC674" i="1"/>
  <c r="AE674" i="1"/>
  <c r="AF674" i="1"/>
  <c r="AJ674" i="1"/>
  <c r="AK674" i="1"/>
  <c r="AY674" i="1"/>
  <c r="BE674" i="1"/>
  <c r="K675" i="1"/>
  <c r="AG675" i="1"/>
  <c r="M675" i="1"/>
  <c r="BA675" i="1"/>
  <c r="U675" i="1"/>
  <c r="W675" i="1"/>
  <c r="X675" i="1"/>
  <c r="AA675" i="1"/>
  <c r="AB675" i="1"/>
  <c r="AC675" i="1"/>
  <c r="AE675" i="1"/>
  <c r="AF675" i="1"/>
  <c r="AJ675" i="1"/>
  <c r="BC675" i="1" s="1"/>
  <c r="Y675" i="1" s="1"/>
  <c r="AK675" i="1"/>
  <c r="AY675" i="1"/>
  <c r="BE675" i="1"/>
  <c r="K677" i="1"/>
  <c r="AG677" i="1"/>
  <c r="M677" i="1"/>
  <c r="BA677" i="1" s="1"/>
  <c r="U677" i="1"/>
  <c r="W677" i="1"/>
  <c r="X677" i="1"/>
  <c r="AA677" i="1"/>
  <c r="AB677" i="1"/>
  <c r="AC677" i="1"/>
  <c r="AE677" i="1"/>
  <c r="AF677" i="1"/>
  <c r="AJ677" i="1"/>
  <c r="I677" i="1"/>
  <c r="AK677" i="1"/>
  <c r="AY677" i="1"/>
  <c r="BE677" i="1"/>
  <c r="K678" i="1"/>
  <c r="AG678" i="1"/>
  <c r="M678" i="1"/>
  <c r="U678" i="1"/>
  <c r="W678" i="1"/>
  <c r="X678" i="1"/>
  <c r="AA678" i="1"/>
  <c r="AB678" i="1"/>
  <c r="AC678" i="1"/>
  <c r="AE678" i="1"/>
  <c r="AF678" i="1"/>
  <c r="AJ678" i="1"/>
  <c r="AK678" i="1"/>
  <c r="AY678" i="1"/>
  <c r="BE678" i="1"/>
  <c r="K679" i="1"/>
  <c r="AG679" i="1"/>
  <c r="M679" i="1"/>
  <c r="BA679" i="1" s="1"/>
  <c r="U679" i="1"/>
  <c r="W679" i="1"/>
  <c r="X679" i="1"/>
  <c r="AA679" i="1"/>
  <c r="AB679" i="1"/>
  <c r="AC679" i="1"/>
  <c r="AE679" i="1"/>
  <c r="AF679" i="1"/>
  <c r="AJ679" i="1"/>
  <c r="AK679" i="1"/>
  <c r="AS679" i="1" s="1"/>
  <c r="AY679" i="1"/>
  <c r="BE679" i="1"/>
  <c r="K680" i="1"/>
  <c r="M680" i="1"/>
  <c r="BA680" i="1"/>
  <c r="U680" i="1"/>
  <c r="W680" i="1"/>
  <c r="X680" i="1"/>
  <c r="AA680" i="1"/>
  <c r="AB680" i="1"/>
  <c r="AC680" i="1"/>
  <c r="AE680" i="1"/>
  <c r="AF680" i="1"/>
  <c r="AJ680" i="1"/>
  <c r="AR680" i="1" s="1"/>
  <c r="AK680" i="1"/>
  <c r="BD680" i="1" s="1"/>
  <c r="Z680" i="1" s="1"/>
  <c r="AY680" i="1"/>
  <c r="BE680" i="1"/>
  <c r="K681" i="1"/>
  <c r="AG681" i="1" s="1"/>
  <c r="M681" i="1"/>
  <c r="BA681" i="1" s="1"/>
  <c r="U681" i="1"/>
  <c r="W681" i="1"/>
  <c r="X681" i="1"/>
  <c r="AA681" i="1"/>
  <c r="AB681" i="1"/>
  <c r="AC681" i="1"/>
  <c r="AE681" i="1"/>
  <c r="AF681" i="1"/>
  <c r="AJ681" i="1"/>
  <c r="AK681" i="1"/>
  <c r="J681" i="1" s="1"/>
  <c r="AY681" i="1"/>
  <c r="BE681" i="1"/>
  <c r="K682" i="1"/>
  <c r="AG682" i="1" s="1"/>
  <c r="M682" i="1"/>
  <c r="BA682" i="1" s="1"/>
  <c r="U682" i="1"/>
  <c r="W682" i="1"/>
  <c r="X682" i="1"/>
  <c r="AA682" i="1"/>
  <c r="AB682" i="1"/>
  <c r="AC682" i="1"/>
  <c r="AE682" i="1"/>
  <c r="AF682" i="1"/>
  <c r="AJ682" i="1"/>
  <c r="I682" i="1" s="1"/>
  <c r="AK682" i="1"/>
  <c r="J682" i="1" s="1"/>
  <c r="AY682" i="1"/>
  <c r="BE682" i="1"/>
  <c r="K684" i="1"/>
  <c r="AG684" i="1" s="1"/>
  <c r="M684" i="1"/>
  <c r="BA684" i="1" s="1"/>
  <c r="U684" i="1"/>
  <c r="W684" i="1"/>
  <c r="X684" i="1"/>
  <c r="AA684" i="1"/>
  <c r="AB684" i="1"/>
  <c r="AC684" i="1"/>
  <c r="AE684" i="1"/>
  <c r="AF684" i="1"/>
  <c r="AJ684" i="1"/>
  <c r="AK684" i="1"/>
  <c r="BD684" i="1" s="1"/>
  <c r="Z684" i="1" s="1"/>
  <c r="AY684" i="1"/>
  <c r="BE684" i="1"/>
  <c r="K685" i="1"/>
  <c r="AG685" i="1" s="1"/>
  <c r="M685" i="1"/>
  <c r="BA685" i="1" s="1"/>
  <c r="U685" i="1"/>
  <c r="W685" i="1"/>
  <c r="X685" i="1"/>
  <c r="AA685" i="1"/>
  <c r="AB685" i="1"/>
  <c r="AC685" i="1"/>
  <c r="AE685" i="1"/>
  <c r="AF685" i="1"/>
  <c r="AJ685" i="1"/>
  <c r="AK685" i="1"/>
  <c r="AY685" i="1"/>
  <c r="BE685" i="1"/>
  <c r="K686" i="1"/>
  <c r="AG686" i="1" s="1"/>
  <c r="M686" i="1"/>
  <c r="U686" i="1"/>
  <c r="W686" i="1"/>
  <c r="X686" i="1"/>
  <c r="AA686" i="1"/>
  <c r="AB686" i="1"/>
  <c r="AC686" i="1"/>
  <c r="AE686" i="1"/>
  <c r="AF686" i="1"/>
  <c r="AJ686" i="1"/>
  <c r="I686" i="1" s="1"/>
  <c r="AK686" i="1"/>
  <c r="AY686" i="1"/>
  <c r="BE686" i="1"/>
  <c r="K687" i="1"/>
  <c r="AG687" i="1" s="1"/>
  <c r="M687" i="1"/>
  <c r="BA687" i="1"/>
  <c r="U687" i="1"/>
  <c r="W687" i="1"/>
  <c r="X687" i="1"/>
  <c r="AA687" i="1"/>
  <c r="AB687" i="1"/>
  <c r="AC687" i="1"/>
  <c r="AE687" i="1"/>
  <c r="AF687" i="1"/>
  <c r="AJ687" i="1"/>
  <c r="BC687" i="1" s="1"/>
  <c r="Y687" i="1" s="1"/>
  <c r="AK687" i="1"/>
  <c r="AY687" i="1"/>
  <c r="BE687" i="1"/>
  <c r="K688" i="1"/>
  <c r="M688" i="1"/>
  <c r="BA688" i="1" s="1"/>
  <c r="U688" i="1"/>
  <c r="W688" i="1"/>
  <c r="X688" i="1"/>
  <c r="AA688" i="1"/>
  <c r="AB688" i="1"/>
  <c r="AC688" i="1"/>
  <c r="AE688" i="1"/>
  <c r="AF688" i="1"/>
  <c r="AJ688" i="1"/>
  <c r="BC688" i="1"/>
  <c r="Y688" i="1"/>
  <c r="AK688" i="1"/>
  <c r="AS688" i="1" s="1"/>
  <c r="AY688" i="1"/>
  <c r="BE688" i="1"/>
  <c r="K689" i="1"/>
  <c r="AG689" i="1"/>
  <c r="M689" i="1"/>
  <c r="BA689" i="1" s="1"/>
  <c r="U689" i="1"/>
  <c r="W689" i="1"/>
  <c r="X689" i="1"/>
  <c r="AA689" i="1"/>
  <c r="AB689" i="1"/>
  <c r="AC689" i="1"/>
  <c r="AE689" i="1"/>
  <c r="AF689" i="1"/>
  <c r="AJ689" i="1"/>
  <c r="AK689" i="1"/>
  <c r="AY689" i="1"/>
  <c r="BE689" i="1"/>
  <c r="K690" i="1"/>
  <c r="AG690" i="1"/>
  <c r="M690" i="1"/>
  <c r="BA690" i="1"/>
  <c r="U690" i="1"/>
  <c r="W690" i="1"/>
  <c r="X690" i="1"/>
  <c r="AA690" i="1"/>
  <c r="AB690" i="1"/>
  <c r="AC690" i="1"/>
  <c r="AE690" i="1"/>
  <c r="AF690" i="1"/>
  <c r="AJ690" i="1"/>
  <c r="AK690" i="1"/>
  <c r="AY690" i="1"/>
  <c r="BE690" i="1"/>
  <c r="K691" i="1"/>
  <c r="M691" i="1"/>
  <c r="BA691" i="1" s="1"/>
  <c r="U691" i="1"/>
  <c r="W691" i="1"/>
  <c r="X691" i="1"/>
  <c r="AA691" i="1"/>
  <c r="AB691" i="1"/>
  <c r="AC691" i="1"/>
  <c r="AE691" i="1"/>
  <c r="AF691" i="1"/>
  <c r="AJ691" i="1"/>
  <c r="I691" i="1"/>
  <c r="AK691" i="1"/>
  <c r="J691" i="1"/>
  <c r="AY691" i="1"/>
  <c r="BE691" i="1"/>
  <c r="K692" i="1"/>
  <c r="AG692" i="1" s="1"/>
  <c r="M692" i="1"/>
  <c r="BA692" i="1"/>
  <c r="U692" i="1"/>
  <c r="W692" i="1"/>
  <c r="X692" i="1"/>
  <c r="AA692" i="1"/>
  <c r="AB692" i="1"/>
  <c r="AC692" i="1"/>
  <c r="AE692" i="1"/>
  <c r="AF692" i="1"/>
  <c r="AJ692" i="1"/>
  <c r="AK692" i="1"/>
  <c r="J692" i="1" s="1"/>
  <c r="AY692" i="1"/>
  <c r="BE692" i="1"/>
  <c r="K694" i="1"/>
  <c r="M694" i="1"/>
  <c r="U694" i="1"/>
  <c r="W694" i="1"/>
  <c r="X694" i="1"/>
  <c r="AA694" i="1"/>
  <c r="AB694" i="1"/>
  <c r="AC694" i="1"/>
  <c r="AE694" i="1"/>
  <c r="AN693" i="1"/>
  <c r="AF694" i="1"/>
  <c r="AO693" i="1" s="1"/>
  <c r="AJ694" i="1"/>
  <c r="AK694" i="1"/>
  <c r="J694" i="1" s="1"/>
  <c r="J693" i="1" s="1"/>
  <c r="E33" i="2" s="1"/>
  <c r="AY694" i="1"/>
  <c r="BE694" i="1"/>
  <c r="K696" i="1"/>
  <c r="M696" i="1"/>
  <c r="U696" i="1"/>
  <c r="W696" i="1"/>
  <c r="X696" i="1"/>
  <c r="AA696" i="1"/>
  <c r="AB696" i="1"/>
  <c r="AC696" i="1"/>
  <c r="AE696" i="1"/>
  <c r="AF696" i="1"/>
  <c r="AO695" i="1"/>
  <c r="AJ696" i="1"/>
  <c r="BC696" i="1"/>
  <c r="Y696" i="1" s="1"/>
  <c r="AK696" i="1"/>
  <c r="AS696" i="1"/>
  <c r="AY696" i="1"/>
  <c r="BE696" i="1"/>
  <c r="K697" i="1"/>
  <c r="AG697" i="1" s="1"/>
  <c r="M697" i="1"/>
  <c r="BA697" i="1" s="1"/>
  <c r="U697" i="1"/>
  <c r="W697" i="1"/>
  <c r="X697" i="1"/>
  <c r="AA697" i="1"/>
  <c r="AB697" i="1"/>
  <c r="AC697" i="1"/>
  <c r="AE697" i="1"/>
  <c r="AF697" i="1"/>
  <c r="AJ697" i="1"/>
  <c r="I697" i="1"/>
  <c r="AK697" i="1"/>
  <c r="AY697" i="1"/>
  <c r="BE697" i="1"/>
  <c r="K699" i="1"/>
  <c r="AG699" i="1" s="1"/>
  <c r="M699" i="1"/>
  <c r="BA699" i="1" s="1"/>
  <c r="U699" i="1"/>
  <c r="W699" i="1"/>
  <c r="X699" i="1"/>
  <c r="AA699" i="1"/>
  <c r="AB699" i="1"/>
  <c r="AC699" i="1"/>
  <c r="AE699" i="1"/>
  <c r="AF699" i="1"/>
  <c r="AJ699" i="1"/>
  <c r="AR699" i="1" s="1"/>
  <c r="AK699" i="1"/>
  <c r="AY699" i="1"/>
  <c r="BE699" i="1"/>
  <c r="K700" i="1"/>
  <c r="AG700" i="1" s="1"/>
  <c r="M700" i="1"/>
  <c r="U700" i="1"/>
  <c r="W700" i="1"/>
  <c r="X700" i="1"/>
  <c r="AA700" i="1"/>
  <c r="AB700" i="1"/>
  <c r="AC700" i="1"/>
  <c r="AE700" i="1"/>
  <c r="AF700" i="1"/>
  <c r="AJ700" i="1"/>
  <c r="AK700" i="1"/>
  <c r="AS700" i="1"/>
  <c r="AY700" i="1"/>
  <c r="BE700" i="1"/>
  <c r="K701" i="1"/>
  <c r="AG701" i="1" s="1"/>
  <c r="M701" i="1"/>
  <c r="BA701" i="1"/>
  <c r="U701" i="1"/>
  <c r="W701" i="1"/>
  <c r="X701" i="1"/>
  <c r="AA701" i="1"/>
  <c r="AB701" i="1"/>
  <c r="AC701" i="1"/>
  <c r="AE701" i="1"/>
  <c r="AF701" i="1"/>
  <c r="AJ701" i="1"/>
  <c r="AR701" i="1"/>
  <c r="AK701" i="1"/>
  <c r="AY701" i="1"/>
  <c r="BE701" i="1"/>
  <c r="K702" i="1"/>
  <c r="AG702" i="1" s="1"/>
  <c r="M702" i="1"/>
  <c r="BA702" i="1" s="1"/>
  <c r="U702" i="1"/>
  <c r="W702" i="1"/>
  <c r="X702" i="1"/>
  <c r="AA702" i="1"/>
  <c r="AB702" i="1"/>
  <c r="AC702" i="1"/>
  <c r="AE702" i="1"/>
  <c r="AF702" i="1"/>
  <c r="AJ702" i="1"/>
  <c r="BC702" i="1" s="1"/>
  <c r="Y702" i="1" s="1"/>
  <c r="AK702" i="1"/>
  <c r="J702" i="1" s="1"/>
  <c r="AY702" i="1"/>
  <c r="BE702" i="1"/>
  <c r="K703" i="1"/>
  <c r="AG703" i="1"/>
  <c r="M703" i="1"/>
  <c r="BA703" i="1" s="1"/>
  <c r="U703" i="1"/>
  <c r="W703" i="1"/>
  <c r="X703" i="1"/>
  <c r="AA703" i="1"/>
  <c r="AB703" i="1"/>
  <c r="AC703" i="1"/>
  <c r="AE703" i="1"/>
  <c r="AF703" i="1"/>
  <c r="AJ703" i="1"/>
  <c r="BC703" i="1" s="1"/>
  <c r="Y703" i="1" s="1"/>
  <c r="AK703" i="1"/>
  <c r="J703" i="1" s="1"/>
  <c r="AY703" i="1"/>
  <c r="BE703" i="1"/>
  <c r="K704" i="1"/>
  <c r="AG704" i="1" s="1"/>
  <c r="M704" i="1"/>
  <c r="BA704" i="1"/>
  <c r="U704" i="1"/>
  <c r="W704" i="1"/>
  <c r="X704" i="1"/>
  <c r="AA704" i="1"/>
  <c r="AB704" i="1"/>
  <c r="AC704" i="1"/>
  <c r="AE704" i="1"/>
  <c r="AF704" i="1"/>
  <c r="AJ704" i="1"/>
  <c r="I704" i="1" s="1"/>
  <c r="AK704" i="1"/>
  <c r="AY704" i="1"/>
  <c r="BE704" i="1"/>
  <c r="K705" i="1"/>
  <c r="AG705" i="1" s="1"/>
  <c r="M705" i="1"/>
  <c r="BA705" i="1"/>
  <c r="U705" i="1"/>
  <c r="W705" i="1"/>
  <c r="X705" i="1"/>
  <c r="AA705" i="1"/>
  <c r="AB705" i="1"/>
  <c r="AC705" i="1"/>
  <c r="AE705" i="1"/>
  <c r="AF705" i="1"/>
  <c r="AJ705" i="1"/>
  <c r="AR705" i="1"/>
  <c r="AK705" i="1"/>
  <c r="AY705" i="1"/>
  <c r="BE705" i="1"/>
  <c r="K706" i="1"/>
  <c r="AG706" i="1" s="1"/>
  <c r="M706" i="1"/>
  <c r="BA706" i="1" s="1"/>
  <c r="U706" i="1"/>
  <c r="W706" i="1"/>
  <c r="X706" i="1"/>
  <c r="AA706" i="1"/>
  <c r="AB706" i="1"/>
  <c r="AC706" i="1"/>
  <c r="AE706" i="1"/>
  <c r="AF706" i="1"/>
  <c r="AJ706" i="1"/>
  <c r="AR706" i="1"/>
  <c r="AK706" i="1"/>
  <c r="AY706" i="1"/>
  <c r="BE706" i="1"/>
  <c r="K707" i="1"/>
  <c r="AG707" i="1"/>
  <c r="M707" i="1"/>
  <c r="BA707" i="1"/>
  <c r="U707" i="1"/>
  <c r="W707" i="1"/>
  <c r="X707" i="1"/>
  <c r="AA707" i="1"/>
  <c r="AB707" i="1"/>
  <c r="AC707" i="1"/>
  <c r="AE707" i="1"/>
  <c r="AF707" i="1"/>
  <c r="AJ707" i="1"/>
  <c r="BC707" i="1" s="1"/>
  <c r="Y707" i="1" s="1"/>
  <c r="AK707" i="1"/>
  <c r="J707" i="1" s="1"/>
  <c r="AY707" i="1"/>
  <c r="BE707" i="1"/>
  <c r="K710" i="1"/>
  <c r="M710" i="1"/>
  <c r="BA710" i="1" s="1"/>
  <c r="U710" i="1"/>
  <c r="W710" i="1"/>
  <c r="X710" i="1"/>
  <c r="AA710" i="1"/>
  <c r="AB710" i="1"/>
  <c r="AC710" i="1"/>
  <c r="AE710" i="1"/>
  <c r="AF710" i="1"/>
  <c r="AJ710" i="1"/>
  <c r="BC710" i="1" s="1"/>
  <c r="Y710" i="1" s="1"/>
  <c r="AK710" i="1"/>
  <c r="BD710" i="1" s="1"/>
  <c r="Z710" i="1"/>
  <c r="AY710" i="1"/>
  <c r="BE710" i="1"/>
  <c r="K711" i="1"/>
  <c r="M711" i="1"/>
  <c r="BA711" i="1"/>
  <c r="U711" i="1"/>
  <c r="W711" i="1"/>
  <c r="X711" i="1"/>
  <c r="AA711" i="1"/>
  <c r="AB711" i="1"/>
  <c r="AC711" i="1"/>
  <c r="AE711" i="1"/>
  <c r="AF711" i="1"/>
  <c r="AJ711" i="1"/>
  <c r="AK711" i="1"/>
  <c r="AY711" i="1"/>
  <c r="BE711" i="1"/>
  <c r="K713" i="1"/>
  <c r="AG713" i="1"/>
  <c r="M713" i="1"/>
  <c r="BA713" i="1" s="1"/>
  <c r="U713" i="1"/>
  <c r="W713" i="1"/>
  <c r="X713" i="1"/>
  <c r="AA713" i="1"/>
  <c r="AB713" i="1"/>
  <c r="AC713" i="1"/>
  <c r="AE713" i="1"/>
  <c r="AF713" i="1"/>
  <c r="AJ713" i="1"/>
  <c r="AR713" i="1" s="1"/>
  <c r="AK713" i="1"/>
  <c r="AY713" i="1"/>
  <c r="BE713" i="1"/>
  <c r="K714" i="1"/>
  <c r="AG714" i="1" s="1"/>
  <c r="M714" i="1"/>
  <c r="BA714" i="1"/>
  <c r="U714" i="1"/>
  <c r="W714" i="1"/>
  <c r="X714" i="1"/>
  <c r="AA714" i="1"/>
  <c r="AB714" i="1"/>
  <c r="AC714" i="1"/>
  <c r="AE714" i="1"/>
  <c r="AF714" i="1"/>
  <c r="AJ714" i="1"/>
  <c r="AK714" i="1"/>
  <c r="J714" i="1"/>
  <c r="AY714" i="1"/>
  <c r="BE714" i="1"/>
  <c r="K715" i="1"/>
  <c r="AG715" i="1"/>
  <c r="M715" i="1"/>
  <c r="BA715" i="1" s="1"/>
  <c r="U715" i="1"/>
  <c r="W715" i="1"/>
  <c r="X715" i="1"/>
  <c r="AA715" i="1"/>
  <c r="AB715" i="1"/>
  <c r="AC715" i="1"/>
  <c r="AE715" i="1"/>
  <c r="AF715" i="1"/>
  <c r="AJ715" i="1"/>
  <c r="BC715" i="1"/>
  <c r="Y715" i="1" s="1"/>
  <c r="AK715" i="1"/>
  <c r="AS715" i="1" s="1"/>
  <c r="AY715" i="1"/>
  <c r="BE715" i="1"/>
  <c r="K716" i="1"/>
  <c r="AG716" i="1"/>
  <c r="M716" i="1"/>
  <c r="BA716" i="1" s="1"/>
  <c r="U716" i="1"/>
  <c r="W716" i="1"/>
  <c r="X716" i="1"/>
  <c r="AA716" i="1"/>
  <c r="AB716" i="1"/>
  <c r="AC716" i="1"/>
  <c r="AE716" i="1"/>
  <c r="AF716" i="1"/>
  <c r="AJ716" i="1"/>
  <c r="AK716" i="1"/>
  <c r="AY716" i="1"/>
  <c r="BE716" i="1"/>
  <c r="K717" i="1"/>
  <c r="AG717" i="1"/>
  <c r="M717" i="1"/>
  <c r="BA717" i="1" s="1"/>
  <c r="U717" i="1"/>
  <c r="W717" i="1"/>
  <c r="X717" i="1"/>
  <c r="AA717" i="1"/>
  <c r="AB717" i="1"/>
  <c r="AC717" i="1"/>
  <c r="AE717" i="1"/>
  <c r="AF717" i="1"/>
  <c r="AJ717" i="1"/>
  <c r="AK717" i="1"/>
  <c r="J717" i="1" s="1"/>
  <c r="AY717" i="1"/>
  <c r="BE717" i="1"/>
  <c r="K718" i="1"/>
  <c r="AG718" i="1"/>
  <c r="M718" i="1"/>
  <c r="BA718" i="1"/>
  <c r="U718" i="1"/>
  <c r="W718" i="1"/>
  <c r="X718" i="1"/>
  <c r="AA718" i="1"/>
  <c r="AB718" i="1"/>
  <c r="AC718" i="1"/>
  <c r="AE718" i="1"/>
  <c r="AF718" i="1"/>
  <c r="AJ718" i="1"/>
  <c r="AK718" i="1"/>
  <c r="BD718" i="1"/>
  <c r="Z718" i="1" s="1"/>
  <c r="AY718" i="1"/>
  <c r="BE718" i="1"/>
  <c r="K720" i="1"/>
  <c r="AG720" i="1"/>
  <c r="M720" i="1"/>
  <c r="BA720" i="1" s="1"/>
  <c r="U720" i="1"/>
  <c r="W720" i="1"/>
  <c r="X720" i="1"/>
  <c r="AA720" i="1"/>
  <c r="AB720" i="1"/>
  <c r="AC720" i="1"/>
  <c r="AE720" i="1"/>
  <c r="AF720" i="1"/>
  <c r="AJ720" i="1"/>
  <c r="I720" i="1" s="1"/>
  <c r="AK720" i="1"/>
  <c r="AY720" i="1"/>
  <c r="BE720" i="1"/>
  <c r="K721" i="1"/>
  <c r="M721" i="1"/>
  <c r="U721" i="1"/>
  <c r="W721" i="1"/>
  <c r="X721" i="1"/>
  <c r="AA721" i="1"/>
  <c r="AB721" i="1"/>
  <c r="AC721" i="1"/>
  <c r="AE721" i="1"/>
  <c r="AF721" i="1"/>
  <c r="AJ721" i="1"/>
  <c r="AR721" i="1"/>
  <c r="AK721" i="1"/>
  <c r="AY721" i="1"/>
  <c r="BE721" i="1"/>
  <c r="K722" i="1"/>
  <c r="AG722" i="1"/>
  <c r="M722" i="1"/>
  <c r="BA722" i="1" s="1"/>
  <c r="U722" i="1"/>
  <c r="W722" i="1"/>
  <c r="X722" i="1"/>
  <c r="AA722" i="1"/>
  <c r="AB722" i="1"/>
  <c r="AC722" i="1"/>
  <c r="AE722" i="1"/>
  <c r="AF722" i="1"/>
  <c r="AJ722" i="1"/>
  <c r="AK722" i="1"/>
  <c r="AS722" i="1"/>
  <c r="AY722" i="1"/>
  <c r="BE722" i="1"/>
  <c r="K723" i="1"/>
  <c r="AG723" i="1" s="1"/>
  <c r="M723" i="1"/>
  <c r="U723" i="1"/>
  <c r="W723" i="1"/>
  <c r="X723" i="1"/>
  <c r="AA723" i="1"/>
  <c r="AB723" i="1"/>
  <c r="AC723" i="1"/>
  <c r="AE723" i="1"/>
  <c r="AF723" i="1"/>
  <c r="AJ723" i="1"/>
  <c r="AK723" i="1"/>
  <c r="J723" i="1"/>
  <c r="AY723" i="1"/>
  <c r="BE723" i="1"/>
  <c r="K724" i="1"/>
  <c r="AG724" i="1" s="1"/>
  <c r="M724" i="1"/>
  <c r="BA724" i="1"/>
  <c r="U724" i="1"/>
  <c r="W724" i="1"/>
  <c r="X724" i="1"/>
  <c r="AA724" i="1"/>
  <c r="AB724" i="1"/>
  <c r="AC724" i="1"/>
  <c r="AE724" i="1"/>
  <c r="AF724" i="1"/>
  <c r="AJ724" i="1"/>
  <c r="AR724" i="1"/>
  <c r="AK724" i="1"/>
  <c r="AS724" i="1" s="1"/>
  <c r="AY724" i="1"/>
  <c r="BE724" i="1"/>
  <c r="K725" i="1"/>
  <c r="AG725" i="1"/>
  <c r="M725" i="1"/>
  <c r="BA725" i="1"/>
  <c r="U725" i="1"/>
  <c r="W725" i="1"/>
  <c r="X725" i="1"/>
  <c r="AA725" i="1"/>
  <c r="AB725" i="1"/>
  <c r="AC725" i="1"/>
  <c r="AE725" i="1"/>
  <c r="AF725" i="1"/>
  <c r="AJ725" i="1"/>
  <c r="BC725" i="1" s="1"/>
  <c r="Y725" i="1" s="1"/>
  <c r="AK725" i="1"/>
  <c r="AS725" i="1" s="1"/>
  <c r="AY725" i="1"/>
  <c r="BE725" i="1"/>
  <c r="K726" i="1"/>
  <c r="AG726" i="1"/>
  <c r="M726" i="1"/>
  <c r="BA726" i="1"/>
  <c r="U726" i="1"/>
  <c r="W726" i="1"/>
  <c r="X726" i="1"/>
  <c r="AA726" i="1"/>
  <c r="AB726" i="1"/>
  <c r="AC726" i="1"/>
  <c r="AE726" i="1"/>
  <c r="AF726" i="1"/>
  <c r="AJ726" i="1"/>
  <c r="AR726" i="1" s="1"/>
  <c r="AK726" i="1"/>
  <c r="BD726" i="1" s="1"/>
  <c r="Z726" i="1" s="1"/>
  <c r="AY726" i="1"/>
  <c r="BE726" i="1"/>
  <c r="K727" i="1"/>
  <c r="AG727" i="1" s="1"/>
  <c r="M727" i="1"/>
  <c r="BA727" i="1"/>
  <c r="U727" i="1"/>
  <c r="W727" i="1"/>
  <c r="X727" i="1"/>
  <c r="AA727" i="1"/>
  <c r="AB727" i="1"/>
  <c r="AC727" i="1"/>
  <c r="AE727" i="1"/>
  <c r="AF727" i="1"/>
  <c r="AJ727" i="1"/>
  <c r="BC727" i="1"/>
  <c r="Y727" i="1" s="1"/>
  <c r="AK727" i="1"/>
  <c r="BD727" i="1"/>
  <c r="Z727" i="1" s="1"/>
  <c r="AY727" i="1"/>
  <c r="BE727" i="1"/>
  <c r="K728" i="1"/>
  <c r="AG728" i="1"/>
  <c r="M728" i="1"/>
  <c r="BA728" i="1" s="1"/>
  <c r="U728" i="1"/>
  <c r="W728" i="1"/>
  <c r="X728" i="1"/>
  <c r="AA728" i="1"/>
  <c r="AB728" i="1"/>
  <c r="AC728" i="1"/>
  <c r="AE728" i="1"/>
  <c r="AF728" i="1"/>
  <c r="AJ728" i="1"/>
  <c r="AK728" i="1"/>
  <c r="AS728" i="1" s="1"/>
  <c r="AY728" i="1"/>
  <c r="BE728" i="1"/>
  <c r="K729" i="1"/>
  <c r="AG729" i="1"/>
  <c r="M729" i="1"/>
  <c r="U729" i="1"/>
  <c r="W729" i="1"/>
  <c r="X729" i="1"/>
  <c r="AA729" i="1"/>
  <c r="AB729" i="1"/>
  <c r="AC729" i="1"/>
  <c r="AE729" i="1"/>
  <c r="AF729" i="1"/>
  <c r="AJ729" i="1"/>
  <c r="BC729" i="1" s="1"/>
  <c r="Y729" i="1" s="1"/>
  <c r="AK729" i="1"/>
  <c r="BD729" i="1" s="1"/>
  <c r="Z729" i="1" s="1"/>
  <c r="AY729" i="1"/>
  <c r="BE729" i="1"/>
  <c r="K730" i="1"/>
  <c r="AG730" i="1" s="1"/>
  <c r="M730" i="1"/>
  <c r="BA730" i="1"/>
  <c r="U730" i="1"/>
  <c r="W730" i="1"/>
  <c r="X730" i="1"/>
  <c r="AA730" i="1"/>
  <c r="AB730" i="1"/>
  <c r="AC730" i="1"/>
  <c r="AE730" i="1"/>
  <c r="AF730" i="1"/>
  <c r="AJ730" i="1"/>
  <c r="AK730" i="1"/>
  <c r="J730" i="1" s="1"/>
  <c r="AY730" i="1"/>
  <c r="BE730" i="1"/>
  <c r="K732" i="1"/>
  <c r="K731" i="1" s="1"/>
  <c r="F37" i="2" s="1"/>
  <c r="I37" i="2" s="1"/>
  <c r="M732" i="1"/>
  <c r="U732" i="1"/>
  <c r="Y732" i="1"/>
  <c r="Z732" i="1"/>
  <c r="AA732" i="1"/>
  <c r="AB732" i="1"/>
  <c r="AC732" i="1"/>
  <c r="AE732" i="1"/>
  <c r="AN731" i="1"/>
  <c r="AF732" i="1"/>
  <c r="AO731" i="1" s="1"/>
  <c r="AJ732" i="1"/>
  <c r="AK732" i="1"/>
  <c r="AY732" i="1"/>
  <c r="BE732" i="1"/>
  <c r="K734" i="1"/>
  <c r="M734" i="1"/>
  <c r="M733" i="1"/>
  <c r="G38" i="2" s="1"/>
  <c r="W734" i="1"/>
  <c r="X734" i="1"/>
  <c r="Y734" i="1"/>
  <c r="Z734" i="1"/>
  <c r="AA734" i="1"/>
  <c r="AB734" i="1"/>
  <c r="AC734" i="1"/>
  <c r="AE734" i="1"/>
  <c r="AN733" i="1" s="1"/>
  <c r="AF734" i="1"/>
  <c r="AO733" i="1" s="1"/>
  <c r="AJ734" i="1"/>
  <c r="AK734" i="1"/>
  <c r="AY734" i="1"/>
  <c r="BE734" i="1"/>
  <c r="U734" i="1" s="1"/>
  <c r="K736" i="1"/>
  <c r="K735" i="1" s="1"/>
  <c r="F39" i="2" s="1"/>
  <c r="I39" i="2" s="1"/>
  <c r="M736" i="1"/>
  <c r="M735" i="1"/>
  <c r="G39" i="2" s="1"/>
  <c r="W736" i="1"/>
  <c r="X736" i="1"/>
  <c r="Y736" i="1"/>
  <c r="Z736" i="1"/>
  <c r="AA736" i="1"/>
  <c r="AB736" i="1"/>
  <c r="AC736" i="1"/>
  <c r="AE736" i="1"/>
  <c r="AN735" i="1" s="1"/>
  <c r="AF736" i="1"/>
  <c r="AO735" i="1" s="1"/>
  <c r="AJ736" i="1"/>
  <c r="BC736" i="1"/>
  <c r="AK736" i="1"/>
  <c r="BD736" i="1"/>
  <c r="AY736" i="1"/>
  <c r="BE736" i="1"/>
  <c r="U736" i="1" s="1"/>
  <c r="K738" i="1"/>
  <c r="M738" i="1"/>
  <c r="M737" i="1"/>
  <c r="W738" i="1"/>
  <c r="X738" i="1"/>
  <c r="Y738" i="1"/>
  <c r="Z738" i="1"/>
  <c r="AA738" i="1"/>
  <c r="AB738" i="1"/>
  <c r="AC738" i="1"/>
  <c r="AE738" i="1"/>
  <c r="AN737" i="1" s="1"/>
  <c r="AF738" i="1"/>
  <c r="AO737" i="1"/>
  <c r="AJ738" i="1"/>
  <c r="BC738" i="1" s="1"/>
  <c r="AK738" i="1"/>
  <c r="BD738" i="1"/>
  <c r="AY738" i="1"/>
  <c r="BE738" i="1"/>
  <c r="U738" i="1"/>
  <c r="K740" i="1"/>
  <c r="M740" i="1"/>
  <c r="M739" i="1" s="1"/>
  <c r="G41" i="2" s="1"/>
  <c r="W740" i="1"/>
  <c r="X740" i="1"/>
  <c r="Y740" i="1"/>
  <c r="Z740" i="1"/>
  <c r="AA740" i="1"/>
  <c r="AB740" i="1"/>
  <c r="AC740" i="1"/>
  <c r="AE740" i="1"/>
  <c r="AN739" i="1"/>
  <c r="AF740" i="1"/>
  <c r="AO739" i="1" s="1"/>
  <c r="AJ740" i="1"/>
  <c r="AR740" i="1" s="1"/>
  <c r="AK740" i="1"/>
  <c r="AY740" i="1"/>
  <c r="BE740" i="1"/>
  <c r="U740" i="1"/>
  <c r="K742" i="1"/>
  <c r="K741" i="1" s="1"/>
  <c r="M742" i="1"/>
  <c r="M741" i="1"/>
  <c r="G42" i="2" s="1"/>
  <c r="W742" i="1"/>
  <c r="X742" i="1"/>
  <c r="Y742" i="1"/>
  <c r="Z742" i="1"/>
  <c r="AA742" i="1"/>
  <c r="AB742" i="1"/>
  <c r="AC742" i="1"/>
  <c r="AE742" i="1"/>
  <c r="AN741" i="1"/>
  <c r="AF742" i="1"/>
  <c r="AO741" i="1" s="1"/>
  <c r="AJ742" i="1"/>
  <c r="AK742" i="1"/>
  <c r="J742" i="1"/>
  <c r="J741" i="1"/>
  <c r="AY742" i="1"/>
  <c r="BE742" i="1"/>
  <c r="U742" i="1" s="1"/>
  <c r="K744" i="1"/>
  <c r="K743" i="1"/>
  <c r="F43" i="2" s="1"/>
  <c r="I43" i="2" s="1"/>
  <c r="M744" i="1"/>
  <c r="W744" i="1"/>
  <c r="X744" i="1"/>
  <c r="Y744" i="1"/>
  <c r="Z744" i="1"/>
  <c r="AA744" i="1"/>
  <c r="AB744" i="1"/>
  <c r="AC744" i="1"/>
  <c r="AE744" i="1"/>
  <c r="AN743" i="1" s="1"/>
  <c r="AF744" i="1"/>
  <c r="AO743" i="1" s="1"/>
  <c r="AJ744" i="1"/>
  <c r="AK744" i="1"/>
  <c r="AY744" i="1"/>
  <c r="BE744" i="1"/>
  <c r="U744" i="1" s="1"/>
  <c r="K746" i="1"/>
  <c r="AG746" i="1"/>
  <c r="AP745" i="1" s="1"/>
  <c r="M746" i="1"/>
  <c r="W746" i="1"/>
  <c r="X746" i="1"/>
  <c r="Y746" i="1"/>
  <c r="Z746" i="1"/>
  <c r="AA746" i="1"/>
  <c r="AB746" i="1"/>
  <c r="AC746" i="1"/>
  <c r="AE746" i="1"/>
  <c r="AN745" i="1"/>
  <c r="AF746" i="1"/>
  <c r="AO745" i="1"/>
  <c r="AJ746" i="1"/>
  <c r="AR746" i="1" s="1"/>
  <c r="AK746" i="1"/>
  <c r="J746" i="1" s="1"/>
  <c r="J745" i="1" s="1"/>
  <c r="E44" i="2" s="1"/>
  <c r="AY746" i="1"/>
  <c r="BE746" i="1"/>
  <c r="U746" i="1"/>
  <c r="K748" i="1"/>
  <c r="K747" i="1"/>
  <c r="F45" i="2" s="1"/>
  <c r="I45" i="2" s="1"/>
  <c r="M748" i="1"/>
  <c r="W748" i="1"/>
  <c r="X748" i="1"/>
  <c r="Y748" i="1"/>
  <c r="Z748" i="1"/>
  <c r="AA748" i="1"/>
  <c r="AB748" i="1"/>
  <c r="AC748" i="1"/>
  <c r="AE748" i="1"/>
  <c r="AN747" i="1" s="1"/>
  <c r="AF748" i="1"/>
  <c r="AO747" i="1" s="1"/>
  <c r="AJ748" i="1"/>
  <c r="AK748" i="1"/>
  <c r="AY748" i="1"/>
  <c r="BE748" i="1"/>
  <c r="U748" i="1"/>
  <c r="K750" i="1"/>
  <c r="AG750" i="1"/>
  <c r="AP749" i="1" s="1"/>
  <c r="M750" i="1"/>
  <c r="BA750" i="1"/>
  <c r="W750" i="1"/>
  <c r="X750" i="1"/>
  <c r="Y750" i="1"/>
  <c r="Z750" i="1"/>
  <c r="AA750" i="1"/>
  <c r="AB750" i="1"/>
  <c r="AC750" i="1"/>
  <c r="AE750" i="1"/>
  <c r="AN749" i="1" s="1"/>
  <c r="AF750" i="1"/>
  <c r="AO749" i="1"/>
  <c r="AJ750" i="1"/>
  <c r="I750" i="1"/>
  <c r="I749" i="1" s="1"/>
  <c r="D46" i="2" s="1"/>
  <c r="AK750" i="1"/>
  <c r="AY750" i="1"/>
  <c r="BE750" i="1"/>
  <c r="U750" i="1"/>
  <c r="K752" i="1"/>
  <c r="M752" i="1"/>
  <c r="BA752" i="1"/>
  <c r="W752" i="1"/>
  <c r="X752" i="1"/>
  <c r="Y752" i="1"/>
  <c r="Z752" i="1"/>
  <c r="AA752" i="1"/>
  <c r="AB752" i="1"/>
  <c r="AC752" i="1"/>
  <c r="AE752" i="1"/>
  <c r="AN751" i="1" s="1"/>
  <c r="AF752" i="1"/>
  <c r="AO751" i="1" s="1"/>
  <c r="AJ752" i="1"/>
  <c r="AK752" i="1"/>
  <c r="AS752" i="1" s="1"/>
  <c r="AY752" i="1"/>
  <c r="BE752" i="1"/>
  <c r="U752" i="1" s="1"/>
  <c r="K754" i="1"/>
  <c r="M754" i="1"/>
  <c r="M753" i="1" s="1"/>
  <c r="G48" i="2" s="1"/>
  <c r="W754" i="1"/>
  <c r="X754" i="1"/>
  <c r="Y754" i="1"/>
  <c r="Z754" i="1"/>
  <c r="AA754" i="1"/>
  <c r="AB754" i="1"/>
  <c r="AC754" i="1"/>
  <c r="AE754" i="1"/>
  <c r="AN753" i="1" s="1"/>
  <c r="AF754" i="1"/>
  <c r="AO753" i="1" s="1"/>
  <c r="AJ754" i="1"/>
  <c r="AK754" i="1"/>
  <c r="AY754" i="1"/>
  <c r="BE754" i="1"/>
  <c r="U754" i="1"/>
  <c r="K756" i="1"/>
  <c r="K755" i="1"/>
  <c r="F49" i="2" s="1"/>
  <c r="I49" i="2" s="1"/>
  <c r="M756" i="1"/>
  <c r="W756" i="1"/>
  <c r="X756" i="1"/>
  <c r="Y756" i="1"/>
  <c r="Z756" i="1"/>
  <c r="AA756" i="1"/>
  <c r="AB756" i="1"/>
  <c r="AC756" i="1"/>
  <c r="AE756" i="1"/>
  <c r="AN755" i="1" s="1"/>
  <c r="AF756" i="1"/>
  <c r="AO755" i="1"/>
  <c r="AJ756" i="1"/>
  <c r="AR756" i="1"/>
  <c r="AK756" i="1"/>
  <c r="AY756" i="1"/>
  <c r="BE756" i="1"/>
  <c r="U756" i="1" s="1"/>
  <c r="K758" i="1"/>
  <c r="AG758" i="1"/>
  <c r="AP757" i="1" s="1"/>
  <c r="M758" i="1"/>
  <c r="M757" i="1"/>
  <c r="G50" i="2" s="1"/>
  <c r="W758" i="1"/>
  <c r="X758" i="1"/>
  <c r="Y758" i="1"/>
  <c r="Z758" i="1"/>
  <c r="AA758" i="1"/>
  <c r="AB758" i="1"/>
  <c r="AC758" i="1"/>
  <c r="AE758" i="1"/>
  <c r="AN757" i="1" s="1"/>
  <c r="AF758" i="1"/>
  <c r="AO757" i="1" s="1"/>
  <c r="AJ758" i="1"/>
  <c r="AK758" i="1"/>
  <c r="BD758" i="1"/>
  <c r="AY758" i="1"/>
  <c r="BE758" i="1"/>
  <c r="U758" i="1" s="1"/>
  <c r="K760" i="1"/>
  <c r="K759" i="1" s="1"/>
  <c r="F51" i="2" s="1"/>
  <c r="I51" i="2" s="1"/>
  <c r="M760" i="1"/>
  <c r="M759" i="1"/>
  <c r="G51" i="2" s="1"/>
  <c r="W760" i="1"/>
  <c r="X760" i="1"/>
  <c r="Y760" i="1"/>
  <c r="Z760" i="1"/>
  <c r="AA760" i="1"/>
  <c r="AB760" i="1"/>
  <c r="AC760" i="1"/>
  <c r="AE760" i="1"/>
  <c r="AN759" i="1" s="1"/>
  <c r="AF760" i="1"/>
  <c r="AO759" i="1" s="1"/>
  <c r="AJ760" i="1"/>
  <c r="I760" i="1" s="1"/>
  <c r="I759" i="1" s="1"/>
  <c r="D51" i="2" s="1"/>
  <c r="AK760" i="1"/>
  <c r="BD760" i="1" s="1"/>
  <c r="AY760" i="1"/>
  <c r="BE760" i="1"/>
  <c r="U760" i="1"/>
  <c r="K762" i="1"/>
  <c r="AG762" i="1"/>
  <c r="AP761" i="1" s="1"/>
  <c r="M762" i="1"/>
  <c r="W762" i="1"/>
  <c r="X762" i="1"/>
  <c r="Y762" i="1"/>
  <c r="Z762" i="1"/>
  <c r="AA762" i="1"/>
  <c r="AB762" i="1"/>
  <c r="AC762" i="1"/>
  <c r="AE762" i="1"/>
  <c r="AN761" i="1" s="1"/>
  <c r="AF762" i="1"/>
  <c r="AO761" i="1" s="1"/>
  <c r="AJ762" i="1"/>
  <c r="BC762" i="1" s="1"/>
  <c r="AK762" i="1"/>
  <c r="BD762" i="1"/>
  <c r="AY762" i="1"/>
  <c r="BE762" i="1"/>
  <c r="U762" i="1" s="1"/>
  <c r="K764" i="1"/>
  <c r="K763" i="1"/>
  <c r="F53" i="2" s="1"/>
  <c r="I53" i="2" s="1"/>
  <c r="M764" i="1"/>
  <c r="M763" i="1" s="1"/>
  <c r="G53" i="2" s="1"/>
  <c r="U764" i="1"/>
  <c r="W764" i="1"/>
  <c r="X764" i="1"/>
  <c r="Y764" i="1"/>
  <c r="Z764" i="1"/>
  <c r="AC764" i="1"/>
  <c r="AE764" i="1"/>
  <c r="AN763" i="1" s="1"/>
  <c r="AF764" i="1"/>
  <c r="AO763" i="1" s="1"/>
  <c r="AJ764" i="1"/>
  <c r="AK764" i="1"/>
  <c r="AY764" i="1"/>
  <c r="BE764" i="1"/>
  <c r="K766" i="1"/>
  <c r="AG766" i="1" s="1"/>
  <c r="M766" i="1"/>
  <c r="BA766" i="1" s="1"/>
  <c r="U766" i="1"/>
  <c r="W766" i="1"/>
  <c r="X766" i="1"/>
  <c r="Y766" i="1"/>
  <c r="Z766" i="1"/>
  <c r="AC766" i="1"/>
  <c r="AE766" i="1"/>
  <c r="AF766" i="1"/>
  <c r="AJ766" i="1"/>
  <c r="BC766" i="1" s="1"/>
  <c r="AA766" i="1"/>
  <c r="AK766" i="1"/>
  <c r="J766" i="1" s="1"/>
  <c r="AY766" i="1"/>
  <c r="BE766" i="1"/>
  <c r="K767" i="1"/>
  <c r="AG767" i="1"/>
  <c r="M767" i="1"/>
  <c r="BA767" i="1"/>
  <c r="U767" i="1"/>
  <c r="W767" i="1"/>
  <c r="X767" i="1"/>
  <c r="Y767" i="1"/>
  <c r="Z767" i="1"/>
  <c r="AC767" i="1"/>
  <c r="AE767" i="1"/>
  <c r="AF767" i="1"/>
  <c r="AJ767" i="1"/>
  <c r="AK767" i="1"/>
  <c r="AY767" i="1"/>
  <c r="BE767" i="1"/>
  <c r="K768" i="1"/>
  <c r="AG768" i="1"/>
  <c r="M768" i="1"/>
  <c r="BA768" i="1"/>
  <c r="U768" i="1"/>
  <c r="W768" i="1"/>
  <c r="X768" i="1"/>
  <c r="Y768" i="1"/>
  <c r="Z768" i="1"/>
  <c r="AC768" i="1"/>
  <c r="AE768" i="1"/>
  <c r="AF768" i="1"/>
  <c r="AJ768" i="1"/>
  <c r="AR768" i="1" s="1"/>
  <c r="AK768" i="1"/>
  <c r="J768" i="1" s="1"/>
  <c r="AY768" i="1"/>
  <c r="BE768" i="1"/>
  <c r="K769" i="1"/>
  <c r="AG769" i="1"/>
  <c r="M769" i="1"/>
  <c r="BA769" i="1" s="1"/>
  <c r="U769" i="1"/>
  <c r="W769" i="1"/>
  <c r="X769" i="1"/>
  <c r="Y769" i="1"/>
  <c r="Z769" i="1"/>
  <c r="AC769" i="1"/>
  <c r="AE769" i="1"/>
  <c r="AF769" i="1"/>
  <c r="AJ769" i="1"/>
  <c r="I769" i="1" s="1"/>
  <c r="AK769" i="1"/>
  <c r="AS769" i="1"/>
  <c r="AY769" i="1"/>
  <c r="BE769" i="1"/>
  <c r="K770" i="1"/>
  <c r="AG770" i="1" s="1"/>
  <c r="M770" i="1"/>
  <c r="BA770" i="1" s="1"/>
  <c r="U770" i="1"/>
  <c r="W770" i="1"/>
  <c r="X770" i="1"/>
  <c r="Y770" i="1"/>
  <c r="Z770" i="1"/>
  <c r="AC770" i="1"/>
  <c r="AE770" i="1"/>
  <c r="AF770" i="1"/>
  <c r="AJ770" i="1"/>
  <c r="AR770" i="1"/>
  <c r="AK770" i="1"/>
  <c r="AS770" i="1"/>
  <c r="AY770" i="1"/>
  <c r="BE770" i="1"/>
  <c r="K771" i="1"/>
  <c r="AG771" i="1" s="1"/>
  <c r="M771" i="1"/>
  <c r="BA771" i="1"/>
  <c r="U771" i="1"/>
  <c r="W771" i="1"/>
  <c r="X771" i="1"/>
  <c r="Y771" i="1"/>
  <c r="Z771" i="1"/>
  <c r="AC771" i="1"/>
  <c r="AE771" i="1"/>
  <c r="AF771" i="1"/>
  <c r="AJ771" i="1"/>
  <c r="AR771" i="1"/>
  <c r="AK771" i="1"/>
  <c r="BD771" i="1" s="1"/>
  <c r="AB771" i="1" s="1"/>
  <c r="AY771" i="1"/>
  <c r="BE771" i="1"/>
  <c r="K772" i="1"/>
  <c r="AG772" i="1" s="1"/>
  <c r="M772" i="1"/>
  <c r="BA772" i="1" s="1"/>
  <c r="U772" i="1"/>
  <c r="W772" i="1"/>
  <c r="X772" i="1"/>
  <c r="Y772" i="1"/>
  <c r="Z772" i="1"/>
  <c r="AC772" i="1"/>
  <c r="AE772" i="1"/>
  <c r="AF772" i="1"/>
  <c r="AJ772" i="1"/>
  <c r="AR772" i="1"/>
  <c r="AK772" i="1"/>
  <c r="J772" i="1" s="1"/>
  <c r="AY772" i="1"/>
  <c r="BE772" i="1"/>
  <c r="K773" i="1"/>
  <c r="AG773" i="1" s="1"/>
  <c r="M773" i="1"/>
  <c r="BA773" i="1"/>
  <c r="U773" i="1"/>
  <c r="W773" i="1"/>
  <c r="X773" i="1"/>
  <c r="Y773" i="1"/>
  <c r="Z773" i="1"/>
  <c r="AC773" i="1"/>
  <c r="AE773" i="1"/>
  <c r="AF773" i="1"/>
  <c r="AJ773" i="1"/>
  <c r="BC773" i="1" s="1"/>
  <c r="AA773" i="1" s="1"/>
  <c r="AK773" i="1"/>
  <c r="AS773" i="1"/>
  <c r="AY773" i="1"/>
  <c r="BE773" i="1"/>
  <c r="K774" i="1"/>
  <c r="AG774" i="1" s="1"/>
  <c r="M774" i="1"/>
  <c r="BA774" i="1"/>
  <c r="U774" i="1"/>
  <c r="W774" i="1"/>
  <c r="X774" i="1"/>
  <c r="Y774" i="1"/>
  <c r="Z774" i="1"/>
  <c r="AC774" i="1"/>
  <c r="AE774" i="1"/>
  <c r="AF774" i="1"/>
  <c r="AJ774" i="1"/>
  <c r="AR774" i="1"/>
  <c r="AK774" i="1"/>
  <c r="AS774" i="1" s="1"/>
  <c r="AY774" i="1"/>
  <c r="BE774" i="1"/>
  <c r="K775" i="1"/>
  <c r="AG775" i="1"/>
  <c r="M775" i="1"/>
  <c r="BA775" i="1"/>
  <c r="U775" i="1"/>
  <c r="W775" i="1"/>
  <c r="X775" i="1"/>
  <c r="Y775" i="1"/>
  <c r="Z775" i="1"/>
  <c r="AC775" i="1"/>
  <c r="AE775" i="1"/>
  <c r="AF775" i="1"/>
  <c r="AJ775" i="1"/>
  <c r="I775" i="1" s="1"/>
  <c r="AK775" i="1"/>
  <c r="AS775" i="1" s="1"/>
  <c r="AY775" i="1"/>
  <c r="BE775" i="1"/>
  <c r="K776" i="1"/>
  <c r="AG776" i="1"/>
  <c r="M776" i="1"/>
  <c r="BA776" i="1" s="1"/>
  <c r="U776" i="1"/>
  <c r="W776" i="1"/>
  <c r="X776" i="1"/>
  <c r="Y776" i="1"/>
  <c r="Z776" i="1"/>
  <c r="AC776" i="1"/>
  <c r="AE776" i="1"/>
  <c r="AF776" i="1"/>
  <c r="AJ776" i="1"/>
  <c r="I776" i="1" s="1"/>
  <c r="AK776" i="1"/>
  <c r="BD776" i="1"/>
  <c r="AB776" i="1" s="1"/>
  <c r="AY776" i="1"/>
  <c r="BE776" i="1"/>
  <c r="K777" i="1"/>
  <c r="AG777" i="1"/>
  <c r="M777" i="1"/>
  <c r="BA777" i="1" s="1"/>
  <c r="U777" i="1"/>
  <c r="W777" i="1"/>
  <c r="X777" i="1"/>
  <c r="Y777" i="1"/>
  <c r="Z777" i="1"/>
  <c r="AC777" i="1"/>
  <c r="AE777" i="1"/>
  <c r="AF777" i="1"/>
  <c r="AJ777" i="1"/>
  <c r="AK777" i="1"/>
  <c r="AS777" i="1"/>
  <c r="AY777" i="1"/>
  <c r="BE777" i="1"/>
  <c r="K778" i="1"/>
  <c r="AG778" i="1" s="1"/>
  <c r="M778" i="1"/>
  <c r="BA778" i="1"/>
  <c r="U778" i="1"/>
  <c r="W778" i="1"/>
  <c r="X778" i="1"/>
  <c r="Y778" i="1"/>
  <c r="Z778" i="1"/>
  <c r="AC778" i="1"/>
  <c r="AE778" i="1"/>
  <c r="AF778" i="1"/>
  <c r="AJ778" i="1"/>
  <c r="BC778" i="1"/>
  <c r="AA778" i="1"/>
  <c r="AK778" i="1"/>
  <c r="AY778" i="1"/>
  <c r="BE778" i="1"/>
  <c r="K779" i="1"/>
  <c r="AG779" i="1"/>
  <c r="M779" i="1"/>
  <c r="BA779" i="1"/>
  <c r="U779" i="1"/>
  <c r="W779" i="1"/>
  <c r="X779" i="1"/>
  <c r="Y779" i="1"/>
  <c r="Z779" i="1"/>
  <c r="AC779" i="1"/>
  <c r="AE779" i="1"/>
  <c r="AF779" i="1"/>
  <c r="AJ779" i="1"/>
  <c r="I779" i="1" s="1"/>
  <c r="AK779" i="1"/>
  <c r="BD779" i="1" s="1"/>
  <c r="AB779" i="1" s="1"/>
  <c r="AY779" i="1"/>
  <c r="BE779" i="1"/>
  <c r="K780" i="1"/>
  <c r="AG780" i="1" s="1"/>
  <c r="M780" i="1"/>
  <c r="BA780" i="1"/>
  <c r="U780" i="1"/>
  <c r="W780" i="1"/>
  <c r="X780" i="1"/>
  <c r="Y780" i="1"/>
  <c r="Z780" i="1"/>
  <c r="AC780" i="1"/>
  <c r="AE780" i="1"/>
  <c r="AF780" i="1"/>
  <c r="AJ780" i="1"/>
  <c r="AK780" i="1"/>
  <c r="AY780" i="1"/>
  <c r="BE780" i="1"/>
  <c r="K781" i="1"/>
  <c r="AG781" i="1" s="1"/>
  <c r="M781" i="1"/>
  <c r="BA781" i="1"/>
  <c r="U781" i="1"/>
  <c r="W781" i="1"/>
  <c r="X781" i="1"/>
  <c r="Y781" i="1"/>
  <c r="Z781" i="1"/>
  <c r="AC781" i="1"/>
  <c r="AE781" i="1"/>
  <c r="AF781" i="1"/>
  <c r="AJ781" i="1"/>
  <c r="BC781" i="1"/>
  <c r="AA781" i="1"/>
  <c r="AK781" i="1"/>
  <c r="BD781" i="1"/>
  <c r="AB781" i="1" s="1"/>
  <c r="AY781" i="1"/>
  <c r="BE781" i="1"/>
  <c r="K782" i="1"/>
  <c r="AG782" i="1"/>
  <c r="M782" i="1"/>
  <c r="BA782" i="1" s="1"/>
  <c r="U782" i="1"/>
  <c r="W782" i="1"/>
  <c r="X782" i="1"/>
  <c r="Y782" i="1"/>
  <c r="Z782" i="1"/>
  <c r="AC782" i="1"/>
  <c r="AE782" i="1"/>
  <c r="AF782" i="1"/>
  <c r="AJ782" i="1"/>
  <c r="AR782" i="1" s="1"/>
  <c r="AK782" i="1"/>
  <c r="AY782" i="1"/>
  <c r="BE782" i="1"/>
  <c r="K783" i="1"/>
  <c r="AG783" i="1"/>
  <c r="M783" i="1"/>
  <c r="BA783" i="1"/>
  <c r="U783" i="1"/>
  <c r="W783" i="1"/>
  <c r="X783" i="1"/>
  <c r="Y783" i="1"/>
  <c r="Z783" i="1"/>
  <c r="AC783" i="1"/>
  <c r="AE783" i="1"/>
  <c r="AF783" i="1"/>
  <c r="AJ783" i="1"/>
  <c r="I783" i="1" s="1"/>
  <c r="AK783" i="1"/>
  <c r="BD783" i="1" s="1"/>
  <c r="AB783" i="1" s="1"/>
  <c r="AY783" i="1"/>
  <c r="BE783" i="1"/>
  <c r="K784" i="1"/>
  <c r="AG784" i="1" s="1"/>
  <c r="M784" i="1"/>
  <c r="BA784" i="1" s="1"/>
  <c r="U784" i="1"/>
  <c r="W784" i="1"/>
  <c r="X784" i="1"/>
  <c r="Y784" i="1"/>
  <c r="Z784" i="1"/>
  <c r="AC784" i="1"/>
  <c r="AE784" i="1"/>
  <c r="AF784" i="1"/>
  <c r="AJ784" i="1"/>
  <c r="BC784" i="1"/>
  <c r="AA784" i="1"/>
  <c r="AK784" i="1"/>
  <c r="AY784" i="1"/>
  <c r="BE784" i="1"/>
  <c r="K785" i="1"/>
  <c r="AG785" i="1"/>
  <c r="M785" i="1"/>
  <c r="BA785" i="1"/>
  <c r="U785" i="1"/>
  <c r="W785" i="1"/>
  <c r="X785" i="1"/>
  <c r="Y785" i="1"/>
  <c r="Z785" i="1"/>
  <c r="AC785" i="1"/>
  <c r="AE785" i="1"/>
  <c r="AF785" i="1"/>
  <c r="AJ785" i="1"/>
  <c r="I785" i="1" s="1"/>
  <c r="AK785" i="1"/>
  <c r="BD785" i="1"/>
  <c r="AB785" i="1" s="1"/>
  <c r="AY785" i="1"/>
  <c r="BE785" i="1"/>
  <c r="K786" i="1"/>
  <c r="AG786" i="1"/>
  <c r="M786" i="1"/>
  <c r="BA786" i="1"/>
  <c r="U786" i="1"/>
  <c r="W786" i="1"/>
  <c r="X786" i="1"/>
  <c r="Y786" i="1"/>
  <c r="Z786" i="1"/>
  <c r="AC786" i="1"/>
  <c r="AE786" i="1"/>
  <c r="AF786" i="1"/>
  <c r="AJ786" i="1"/>
  <c r="I786" i="1" s="1"/>
  <c r="AK786" i="1"/>
  <c r="BD786" i="1" s="1"/>
  <c r="AB786" i="1" s="1"/>
  <c r="AY786" i="1"/>
  <c r="BE786" i="1"/>
  <c r="K787" i="1"/>
  <c r="AG787" i="1" s="1"/>
  <c r="M787" i="1"/>
  <c r="BA787" i="1" s="1"/>
  <c r="U787" i="1"/>
  <c r="W787" i="1"/>
  <c r="X787" i="1"/>
  <c r="Y787" i="1"/>
  <c r="Z787" i="1"/>
  <c r="AC787" i="1"/>
  <c r="AE787" i="1"/>
  <c r="AF787" i="1"/>
  <c r="AJ787" i="1"/>
  <c r="AR787" i="1"/>
  <c r="AK787" i="1"/>
  <c r="AY787" i="1"/>
  <c r="BE787" i="1"/>
  <c r="K788" i="1"/>
  <c r="AG788" i="1" s="1"/>
  <c r="M788" i="1"/>
  <c r="BA788" i="1" s="1"/>
  <c r="U788" i="1"/>
  <c r="W788" i="1"/>
  <c r="X788" i="1"/>
  <c r="Y788" i="1"/>
  <c r="Z788" i="1"/>
  <c r="AC788" i="1"/>
  <c r="AE788" i="1"/>
  <c r="AF788" i="1"/>
  <c r="AJ788" i="1"/>
  <c r="AR788" i="1"/>
  <c r="AK788" i="1"/>
  <c r="J788" i="1"/>
  <c r="AY788" i="1"/>
  <c r="BE788" i="1"/>
  <c r="K789" i="1"/>
  <c r="AG789" i="1" s="1"/>
  <c r="M789" i="1"/>
  <c r="BA789" i="1"/>
  <c r="U789" i="1"/>
  <c r="W789" i="1"/>
  <c r="X789" i="1"/>
  <c r="Y789" i="1"/>
  <c r="Z789" i="1"/>
  <c r="AC789" i="1"/>
  <c r="AE789" i="1"/>
  <c r="AF789" i="1"/>
  <c r="AJ789" i="1"/>
  <c r="BC789" i="1"/>
  <c r="AA789" i="1"/>
  <c r="AK789" i="1"/>
  <c r="AS789" i="1" s="1"/>
  <c r="AY789" i="1"/>
  <c r="BE789" i="1"/>
  <c r="K790" i="1"/>
  <c r="AG790" i="1" s="1"/>
  <c r="M790" i="1"/>
  <c r="BA790" i="1" s="1"/>
  <c r="U790" i="1"/>
  <c r="W790" i="1"/>
  <c r="X790" i="1"/>
  <c r="Y790" i="1"/>
  <c r="Z790" i="1"/>
  <c r="AC790" i="1"/>
  <c r="AE790" i="1"/>
  <c r="AF790" i="1"/>
  <c r="AJ790" i="1"/>
  <c r="AR790" i="1" s="1"/>
  <c r="AK790" i="1"/>
  <c r="J790" i="1" s="1"/>
  <c r="AY790" i="1"/>
  <c r="BE790" i="1"/>
  <c r="K791" i="1"/>
  <c r="AG791" i="1" s="1"/>
  <c r="M791" i="1"/>
  <c r="BA791" i="1" s="1"/>
  <c r="U791" i="1"/>
  <c r="W791" i="1"/>
  <c r="X791" i="1"/>
  <c r="Y791" i="1"/>
  <c r="Z791" i="1"/>
  <c r="AC791" i="1"/>
  <c r="AE791" i="1"/>
  <c r="AF791" i="1"/>
  <c r="AJ791" i="1"/>
  <c r="I791" i="1" s="1"/>
  <c r="AK791" i="1"/>
  <c r="BD791" i="1" s="1"/>
  <c r="AB791" i="1"/>
  <c r="AY791" i="1"/>
  <c r="BE791" i="1"/>
  <c r="K792" i="1"/>
  <c r="AG792" i="1" s="1"/>
  <c r="M792" i="1"/>
  <c r="BA792" i="1"/>
  <c r="U792" i="1"/>
  <c r="W792" i="1"/>
  <c r="X792" i="1"/>
  <c r="Y792" i="1"/>
  <c r="Z792" i="1"/>
  <c r="AC792" i="1"/>
  <c r="AE792" i="1"/>
  <c r="AF792" i="1"/>
  <c r="AJ792" i="1"/>
  <c r="AK792" i="1"/>
  <c r="AY792" i="1"/>
  <c r="BE792" i="1"/>
  <c r="K793" i="1"/>
  <c r="M793" i="1"/>
  <c r="BA793" i="1" s="1"/>
  <c r="U793" i="1"/>
  <c r="W793" i="1"/>
  <c r="X793" i="1"/>
  <c r="Y793" i="1"/>
  <c r="Z793" i="1"/>
  <c r="AC793" i="1"/>
  <c r="AE793" i="1"/>
  <c r="AF793" i="1"/>
  <c r="AJ793" i="1"/>
  <c r="AR793" i="1" s="1"/>
  <c r="AK793" i="1"/>
  <c r="J793" i="1" s="1"/>
  <c r="AY793" i="1"/>
  <c r="BE793" i="1"/>
  <c r="K794" i="1"/>
  <c r="AG794" i="1" s="1"/>
  <c r="M794" i="1"/>
  <c r="BA794" i="1" s="1"/>
  <c r="U794" i="1"/>
  <c r="W794" i="1"/>
  <c r="X794" i="1"/>
  <c r="Y794" i="1"/>
  <c r="Z794" i="1"/>
  <c r="AC794" i="1"/>
  <c r="AE794" i="1"/>
  <c r="AF794" i="1"/>
  <c r="AJ794" i="1"/>
  <c r="AK794" i="1"/>
  <c r="AY794" i="1"/>
  <c r="BE794" i="1"/>
  <c r="K795" i="1"/>
  <c r="AG795" i="1"/>
  <c r="M795" i="1"/>
  <c r="BA795" i="1" s="1"/>
  <c r="U795" i="1"/>
  <c r="W795" i="1"/>
  <c r="X795" i="1"/>
  <c r="Y795" i="1"/>
  <c r="Z795" i="1"/>
  <c r="AC795" i="1"/>
  <c r="AE795" i="1"/>
  <c r="AF795" i="1"/>
  <c r="AJ795" i="1"/>
  <c r="BC795" i="1"/>
  <c r="AA795" i="1" s="1"/>
  <c r="AK795" i="1"/>
  <c r="AS795" i="1" s="1"/>
  <c r="AY795" i="1"/>
  <c r="BE795" i="1"/>
  <c r="K796" i="1"/>
  <c r="AG796" i="1"/>
  <c r="M796" i="1"/>
  <c r="BA796" i="1" s="1"/>
  <c r="U796" i="1"/>
  <c r="W796" i="1"/>
  <c r="X796" i="1"/>
  <c r="Y796" i="1"/>
  <c r="Z796" i="1"/>
  <c r="AC796" i="1"/>
  <c r="AE796" i="1"/>
  <c r="AF796" i="1"/>
  <c r="AJ796" i="1"/>
  <c r="AK796" i="1"/>
  <c r="AY796" i="1"/>
  <c r="BE796" i="1"/>
  <c r="K797" i="1"/>
  <c r="AG797" i="1"/>
  <c r="M797" i="1"/>
  <c r="BA797" i="1" s="1"/>
  <c r="U797" i="1"/>
  <c r="W797" i="1"/>
  <c r="X797" i="1"/>
  <c r="Y797" i="1"/>
  <c r="Z797" i="1"/>
  <c r="AC797" i="1"/>
  <c r="AE797" i="1"/>
  <c r="AF797" i="1"/>
  <c r="AJ797" i="1"/>
  <c r="AK797" i="1"/>
  <c r="AY797" i="1"/>
  <c r="BE797" i="1"/>
  <c r="K798" i="1"/>
  <c r="AG798" i="1"/>
  <c r="M798" i="1"/>
  <c r="BA798" i="1" s="1"/>
  <c r="U798" i="1"/>
  <c r="W798" i="1"/>
  <c r="X798" i="1"/>
  <c r="Y798" i="1"/>
  <c r="Z798" i="1"/>
  <c r="AC798" i="1"/>
  <c r="AE798" i="1"/>
  <c r="AF798" i="1"/>
  <c r="AJ798" i="1"/>
  <c r="AK798" i="1"/>
  <c r="BD798" i="1" s="1"/>
  <c r="AB798" i="1" s="1"/>
  <c r="AY798" i="1"/>
  <c r="BE798" i="1"/>
  <c r="K799" i="1"/>
  <c r="AG799" i="1" s="1"/>
  <c r="M799" i="1"/>
  <c r="BA799" i="1" s="1"/>
  <c r="U799" i="1"/>
  <c r="W799" i="1"/>
  <c r="X799" i="1"/>
  <c r="Y799" i="1"/>
  <c r="Z799" i="1"/>
  <c r="AC799" i="1"/>
  <c r="AE799" i="1"/>
  <c r="AF799" i="1"/>
  <c r="AJ799" i="1"/>
  <c r="I799" i="1"/>
  <c r="AK799" i="1"/>
  <c r="J799" i="1"/>
  <c r="AY799" i="1"/>
  <c r="BE799" i="1"/>
  <c r="M801" i="1"/>
  <c r="BA801" i="1" s="1"/>
  <c r="U801" i="1"/>
  <c r="W801" i="1"/>
  <c r="X801" i="1"/>
  <c r="Y801" i="1"/>
  <c r="Z801" i="1"/>
  <c r="AC801" i="1"/>
  <c r="AE801" i="1"/>
  <c r="AF801" i="1"/>
  <c r="AJ801" i="1"/>
  <c r="AK801" i="1"/>
  <c r="AY801" i="1"/>
  <c r="BE801" i="1"/>
  <c r="K803" i="1"/>
  <c r="AG803" i="1" s="1"/>
  <c r="M803" i="1"/>
  <c r="BA803" i="1" s="1"/>
  <c r="U803" i="1"/>
  <c r="W803" i="1"/>
  <c r="X803" i="1"/>
  <c r="Y803" i="1"/>
  <c r="Z803" i="1"/>
  <c r="AC803" i="1"/>
  <c r="AE803" i="1"/>
  <c r="AF803" i="1"/>
  <c r="AJ803" i="1"/>
  <c r="AR803" i="1"/>
  <c r="AK803" i="1"/>
  <c r="AY803" i="1"/>
  <c r="BE803" i="1"/>
  <c r="K804" i="1"/>
  <c r="AG804" i="1" s="1"/>
  <c r="M804" i="1"/>
  <c r="BA804" i="1"/>
  <c r="U804" i="1"/>
  <c r="W804" i="1"/>
  <c r="X804" i="1"/>
  <c r="Y804" i="1"/>
  <c r="Z804" i="1"/>
  <c r="AC804" i="1"/>
  <c r="AE804" i="1"/>
  <c r="AF804" i="1"/>
  <c r="AJ804" i="1"/>
  <c r="BC804" i="1" s="1"/>
  <c r="AA804" i="1" s="1"/>
  <c r="AK804" i="1"/>
  <c r="J804" i="1" s="1"/>
  <c r="AY804" i="1"/>
  <c r="BE804" i="1"/>
  <c r="K805" i="1"/>
  <c r="AG805" i="1"/>
  <c r="M805" i="1"/>
  <c r="BA805" i="1"/>
  <c r="U805" i="1"/>
  <c r="W805" i="1"/>
  <c r="X805" i="1"/>
  <c r="Y805" i="1"/>
  <c r="Z805" i="1"/>
  <c r="AC805" i="1"/>
  <c r="AE805" i="1"/>
  <c r="AF805" i="1"/>
  <c r="AJ805" i="1"/>
  <c r="I805" i="1" s="1"/>
  <c r="AK805" i="1"/>
  <c r="J805" i="1" s="1"/>
  <c r="AY805" i="1"/>
  <c r="BE805" i="1"/>
  <c r="K806" i="1"/>
  <c r="AG806" i="1"/>
  <c r="M806" i="1"/>
  <c r="BA806" i="1" s="1"/>
  <c r="U806" i="1"/>
  <c r="W806" i="1"/>
  <c r="X806" i="1"/>
  <c r="Y806" i="1"/>
  <c r="Z806" i="1"/>
  <c r="AC806" i="1"/>
  <c r="AE806" i="1"/>
  <c r="AF806" i="1"/>
  <c r="AJ806" i="1"/>
  <c r="AK806" i="1"/>
  <c r="BD806" i="1" s="1"/>
  <c r="AB806" i="1" s="1"/>
  <c r="AY806" i="1"/>
  <c r="BE806" i="1"/>
  <c r="K807" i="1"/>
  <c r="M807" i="1"/>
  <c r="BA807" i="1" s="1"/>
  <c r="U807" i="1"/>
  <c r="W807" i="1"/>
  <c r="X807" i="1"/>
  <c r="Y807" i="1"/>
  <c r="Z807" i="1"/>
  <c r="AC807" i="1"/>
  <c r="AE807" i="1"/>
  <c r="AF807" i="1"/>
  <c r="AJ807" i="1"/>
  <c r="AK807" i="1"/>
  <c r="J807" i="1"/>
  <c r="AY807" i="1"/>
  <c r="BE807" i="1"/>
  <c r="K808" i="1"/>
  <c r="AG808" i="1" s="1"/>
  <c r="M808" i="1"/>
  <c r="BA808" i="1" s="1"/>
  <c r="U808" i="1"/>
  <c r="W808" i="1"/>
  <c r="X808" i="1"/>
  <c r="Y808" i="1"/>
  <c r="Z808" i="1"/>
  <c r="AC808" i="1"/>
  <c r="AE808" i="1"/>
  <c r="AF808" i="1"/>
  <c r="AJ808" i="1"/>
  <c r="AK808" i="1"/>
  <c r="AS808" i="1" s="1"/>
  <c r="AY808" i="1"/>
  <c r="BE808" i="1"/>
  <c r="K809" i="1"/>
  <c r="AG809" i="1" s="1"/>
  <c r="M809" i="1"/>
  <c r="BA809" i="1"/>
  <c r="U809" i="1"/>
  <c r="W809" i="1"/>
  <c r="X809" i="1"/>
  <c r="Y809" i="1"/>
  <c r="Z809" i="1"/>
  <c r="AC809" i="1"/>
  <c r="AE809" i="1"/>
  <c r="AF809" i="1"/>
  <c r="AJ809" i="1"/>
  <c r="AR809" i="1" s="1"/>
  <c r="AK809" i="1"/>
  <c r="AS809" i="1"/>
  <c r="AY809" i="1"/>
  <c r="BE809" i="1"/>
  <c r="K810" i="1"/>
  <c r="AG810" i="1"/>
  <c r="M810" i="1"/>
  <c r="BA810" i="1" s="1"/>
  <c r="U810" i="1"/>
  <c r="W810" i="1"/>
  <c r="X810" i="1"/>
  <c r="Y810" i="1"/>
  <c r="Z810" i="1"/>
  <c r="AC810" i="1"/>
  <c r="AE810" i="1"/>
  <c r="AF810" i="1"/>
  <c r="AJ810" i="1"/>
  <c r="AR810" i="1"/>
  <c r="AK810" i="1"/>
  <c r="AY810" i="1"/>
  <c r="BE810" i="1"/>
  <c r="K811" i="1"/>
  <c r="AG811" i="1"/>
  <c r="M811" i="1"/>
  <c r="BA811" i="1"/>
  <c r="U811" i="1"/>
  <c r="W811" i="1"/>
  <c r="X811" i="1"/>
  <c r="Y811" i="1"/>
  <c r="Z811" i="1"/>
  <c r="AC811" i="1"/>
  <c r="AE811" i="1"/>
  <c r="AF811" i="1"/>
  <c r="AJ811" i="1"/>
  <c r="BC811" i="1" s="1"/>
  <c r="AA811" i="1" s="1"/>
  <c r="AK811" i="1"/>
  <c r="AY811" i="1"/>
  <c r="BE811" i="1"/>
  <c r="K812" i="1"/>
  <c r="AG812" i="1"/>
  <c r="M812" i="1"/>
  <c r="BA812" i="1" s="1"/>
  <c r="U812" i="1"/>
  <c r="W812" i="1"/>
  <c r="X812" i="1"/>
  <c r="Y812" i="1"/>
  <c r="Z812" i="1"/>
  <c r="AC812" i="1"/>
  <c r="AE812" i="1"/>
  <c r="AF812" i="1"/>
  <c r="AJ812" i="1"/>
  <c r="AK812" i="1"/>
  <c r="AS812" i="1" s="1"/>
  <c r="AY812" i="1"/>
  <c r="BE812" i="1"/>
  <c r="K813" i="1"/>
  <c r="AG813" i="1" s="1"/>
  <c r="M813" i="1"/>
  <c r="BA813" i="1"/>
  <c r="U813" i="1"/>
  <c r="W813" i="1"/>
  <c r="X813" i="1"/>
  <c r="Y813" i="1"/>
  <c r="Z813" i="1"/>
  <c r="AC813" i="1"/>
  <c r="AE813" i="1"/>
  <c r="AF813" i="1"/>
  <c r="AJ813" i="1"/>
  <c r="BC813" i="1" s="1"/>
  <c r="AK813" i="1"/>
  <c r="BD813" i="1" s="1"/>
  <c r="AB813" i="1"/>
  <c r="AY813" i="1"/>
  <c r="BE813" i="1"/>
  <c r="K814" i="1"/>
  <c r="AG814" i="1" s="1"/>
  <c r="M814" i="1"/>
  <c r="BA814" i="1"/>
  <c r="U814" i="1"/>
  <c r="W814" i="1"/>
  <c r="X814" i="1"/>
  <c r="Y814" i="1"/>
  <c r="Z814" i="1"/>
  <c r="AC814" i="1"/>
  <c r="AE814" i="1"/>
  <c r="AF814" i="1"/>
  <c r="AJ814" i="1"/>
  <c r="I814" i="1"/>
  <c r="AK814" i="1"/>
  <c r="AS814" i="1" s="1"/>
  <c r="AY814" i="1"/>
  <c r="BE814" i="1"/>
  <c r="K815" i="1"/>
  <c r="AG815" i="1"/>
  <c r="M815" i="1"/>
  <c r="BA815" i="1"/>
  <c r="U815" i="1"/>
  <c r="W815" i="1"/>
  <c r="X815" i="1"/>
  <c r="Y815" i="1"/>
  <c r="Z815" i="1"/>
  <c r="AC815" i="1"/>
  <c r="AE815" i="1"/>
  <c r="AF815" i="1"/>
  <c r="AJ815" i="1"/>
  <c r="I815" i="1" s="1"/>
  <c r="AK815" i="1"/>
  <c r="AY815" i="1"/>
  <c r="BE815" i="1"/>
  <c r="K816" i="1"/>
  <c r="AG816" i="1" s="1"/>
  <c r="M816" i="1"/>
  <c r="BA816" i="1" s="1"/>
  <c r="U816" i="1"/>
  <c r="W816" i="1"/>
  <c r="X816" i="1"/>
  <c r="Y816" i="1"/>
  <c r="Z816" i="1"/>
  <c r="AC816" i="1"/>
  <c r="AE816" i="1"/>
  <c r="AF816" i="1"/>
  <c r="AJ816" i="1"/>
  <c r="AK816" i="1"/>
  <c r="BD816" i="1" s="1"/>
  <c r="AB816" i="1" s="1"/>
  <c r="AY816" i="1"/>
  <c r="BE816" i="1"/>
  <c r="K817" i="1"/>
  <c r="AG817" i="1" s="1"/>
  <c r="M817" i="1"/>
  <c r="BA817" i="1" s="1"/>
  <c r="U817" i="1"/>
  <c r="W817" i="1"/>
  <c r="X817" i="1"/>
  <c r="Y817" i="1"/>
  <c r="Z817" i="1"/>
  <c r="AC817" i="1"/>
  <c r="AE817" i="1"/>
  <c r="AF817" i="1"/>
  <c r="AJ817" i="1"/>
  <c r="AK817" i="1"/>
  <c r="J817" i="1"/>
  <c r="AY817" i="1"/>
  <c r="BE817" i="1"/>
  <c r="K818" i="1"/>
  <c r="AG818" i="1" s="1"/>
  <c r="M818" i="1"/>
  <c r="BA818" i="1" s="1"/>
  <c r="U818" i="1"/>
  <c r="W818" i="1"/>
  <c r="X818" i="1"/>
  <c r="Y818" i="1"/>
  <c r="Z818" i="1"/>
  <c r="AC818" i="1"/>
  <c r="AE818" i="1"/>
  <c r="AF818" i="1"/>
  <c r="AJ818" i="1"/>
  <c r="I818" i="1"/>
  <c r="AK818" i="1"/>
  <c r="AY818" i="1"/>
  <c r="BE818" i="1"/>
  <c r="K819" i="1"/>
  <c r="AG819" i="1" s="1"/>
  <c r="M819" i="1"/>
  <c r="BA819" i="1" s="1"/>
  <c r="U819" i="1"/>
  <c r="W819" i="1"/>
  <c r="X819" i="1"/>
  <c r="Y819" i="1"/>
  <c r="Z819" i="1"/>
  <c r="AC819" i="1"/>
  <c r="AE819" i="1"/>
  <c r="AF819" i="1"/>
  <c r="AJ819" i="1"/>
  <c r="AR819" i="1" s="1"/>
  <c r="AK819" i="1"/>
  <c r="BD819" i="1" s="1"/>
  <c r="AB819" i="1" s="1"/>
  <c r="AY819" i="1"/>
  <c r="BE819" i="1"/>
  <c r="K820" i="1"/>
  <c r="AG820" i="1"/>
  <c r="M820" i="1"/>
  <c r="BA820" i="1"/>
  <c r="U820" i="1"/>
  <c r="W820" i="1"/>
  <c r="X820" i="1"/>
  <c r="Y820" i="1"/>
  <c r="Z820" i="1"/>
  <c r="AC820" i="1"/>
  <c r="AE820" i="1"/>
  <c r="AF820" i="1"/>
  <c r="AJ820" i="1"/>
  <c r="I820" i="1" s="1"/>
  <c r="AK820" i="1"/>
  <c r="AS820" i="1" s="1"/>
  <c r="AY820" i="1"/>
  <c r="BE820" i="1"/>
  <c r="K821" i="1"/>
  <c r="AG821" i="1"/>
  <c r="M821" i="1"/>
  <c r="BA821" i="1" s="1"/>
  <c r="U821" i="1"/>
  <c r="W821" i="1"/>
  <c r="X821" i="1"/>
  <c r="Y821" i="1"/>
  <c r="Z821" i="1"/>
  <c r="AC821" i="1"/>
  <c r="AE821" i="1"/>
  <c r="AF821" i="1"/>
  <c r="AJ821" i="1"/>
  <c r="AK821" i="1"/>
  <c r="J821" i="1" s="1"/>
  <c r="AY821" i="1"/>
  <c r="BE821" i="1"/>
  <c r="K822" i="1"/>
  <c r="AG822" i="1"/>
  <c r="M822" i="1"/>
  <c r="BA822" i="1" s="1"/>
  <c r="U822" i="1"/>
  <c r="W822" i="1"/>
  <c r="X822" i="1"/>
  <c r="Y822" i="1"/>
  <c r="Z822" i="1"/>
  <c r="AC822" i="1"/>
  <c r="AE822" i="1"/>
  <c r="AF822" i="1"/>
  <c r="AJ822" i="1"/>
  <c r="AK822" i="1"/>
  <c r="BD822" i="1"/>
  <c r="AB822" i="1" s="1"/>
  <c r="AY822" i="1"/>
  <c r="BE822" i="1"/>
  <c r="K823" i="1"/>
  <c r="AG823" i="1" s="1"/>
  <c r="M823" i="1"/>
  <c r="BA823" i="1" s="1"/>
  <c r="U823" i="1"/>
  <c r="W823" i="1"/>
  <c r="X823" i="1"/>
  <c r="Y823" i="1"/>
  <c r="Z823" i="1"/>
  <c r="AC823" i="1"/>
  <c r="AE823" i="1"/>
  <c r="AF823" i="1"/>
  <c r="AJ823" i="1"/>
  <c r="AR823" i="1" s="1"/>
  <c r="AK823" i="1"/>
  <c r="J823" i="1" s="1"/>
  <c r="AY823" i="1"/>
  <c r="BE823" i="1"/>
  <c r="K824" i="1"/>
  <c r="AG824" i="1"/>
  <c r="M824" i="1"/>
  <c r="BA824" i="1" s="1"/>
  <c r="U824" i="1"/>
  <c r="W824" i="1"/>
  <c r="X824" i="1"/>
  <c r="Y824" i="1"/>
  <c r="Z824" i="1"/>
  <c r="AC824" i="1"/>
  <c r="AE824" i="1"/>
  <c r="AF824" i="1"/>
  <c r="AJ824" i="1"/>
  <c r="AK824" i="1"/>
  <c r="BD824" i="1" s="1"/>
  <c r="AB824" i="1" s="1"/>
  <c r="AY824" i="1"/>
  <c r="BE824" i="1"/>
  <c r="K825" i="1"/>
  <c r="AG825" i="1" s="1"/>
  <c r="M825" i="1"/>
  <c r="BA825" i="1"/>
  <c r="U825" i="1"/>
  <c r="W825" i="1"/>
  <c r="X825" i="1"/>
  <c r="Y825" i="1"/>
  <c r="Z825" i="1"/>
  <c r="AC825" i="1"/>
  <c r="AE825" i="1"/>
  <c r="AF825" i="1"/>
  <c r="AJ825" i="1"/>
  <c r="I825" i="1" s="1"/>
  <c r="AK825" i="1"/>
  <c r="J825" i="1"/>
  <c r="AY825" i="1"/>
  <c r="BE825" i="1"/>
  <c r="K826" i="1"/>
  <c r="AG826" i="1"/>
  <c r="M826" i="1"/>
  <c r="BA826" i="1" s="1"/>
  <c r="U826" i="1"/>
  <c r="W826" i="1"/>
  <c r="X826" i="1"/>
  <c r="Y826" i="1"/>
  <c r="Z826" i="1"/>
  <c r="AC826" i="1"/>
  <c r="AE826" i="1"/>
  <c r="AF826" i="1"/>
  <c r="AJ826" i="1"/>
  <c r="AK826" i="1"/>
  <c r="AY826" i="1"/>
  <c r="BE826" i="1"/>
  <c r="K827" i="1"/>
  <c r="AG827" i="1" s="1"/>
  <c r="M827" i="1"/>
  <c r="BA827" i="1" s="1"/>
  <c r="U827" i="1"/>
  <c r="W827" i="1"/>
  <c r="X827" i="1"/>
  <c r="Y827" i="1"/>
  <c r="Z827" i="1"/>
  <c r="AC827" i="1"/>
  <c r="AE827" i="1"/>
  <c r="AF827" i="1"/>
  <c r="AJ827" i="1"/>
  <c r="AK827" i="1"/>
  <c r="AY827" i="1"/>
  <c r="BE827" i="1"/>
  <c r="K828" i="1"/>
  <c r="AG828" i="1" s="1"/>
  <c r="M828" i="1"/>
  <c r="BA828" i="1" s="1"/>
  <c r="U828" i="1"/>
  <c r="W828" i="1"/>
  <c r="X828" i="1"/>
  <c r="Y828" i="1"/>
  <c r="Z828" i="1"/>
  <c r="AC828" i="1"/>
  <c r="AE828" i="1"/>
  <c r="AF828" i="1"/>
  <c r="AJ828" i="1"/>
  <c r="AR828" i="1" s="1"/>
  <c r="AK828" i="1"/>
  <c r="AY828" i="1"/>
  <c r="BE828" i="1"/>
  <c r="K829" i="1"/>
  <c r="AG829" i="1" s="1"/>
  <c r="M829" i="1"/>
  <c r="BA829" i="1" s="1"/>
  <c r="U829" i="1"/>
  <c r="W829" i="1"/>
  <c r="X829" i="1"/>
  <c r="Y829" i="1"/>
  <c r="Z829" i="1"/>
  <c r="AC829" i="1"/>
  <c r="AE829" i="1"/>
  <c r="AF829" i="1"/>
  <c r="AJ829" i="1"/>
  <c r="BC829" i="1"/>
  <c r="AA829" i="1" s="1"/>
  <c r="AK829" i="1"/>
  <c r="BD829" i="1"/>
  <c r="AB829" i="1" s="1"/>
  <c r="AY829" i="1"/>
  <c r="BE829" i="1"/>
  <c r="K830" i="1"/>
  <c r="AG830" i="1"/>
  <c r="M830" i="1"/>
  <c r="BA830" i="1"/>
  <c r="U830" i="1"/>
  <c r="W830" i="1"/>
  <c r="X830" i="1"/>
  <c r="Y830" i="1"/>
  <c r="Z830" i="1"/>
  <c r="AC830" i="1"/>
  <c r="AE830" i="1"/>
  <c r="AF830" i="1"/>
  <c r="AJ830" i="1"/>
  <c r="AK830" i="1"/>
  <c r="BD830" i="1" s="1"/>
  <c r="AB830" i="1" s="1"/>
  <c r="AY830" i="1"/>
  <c r="BE830" i="1"/>
  <c r="K831" i="1"/>
  <c r="AG831" i="1"/>
  <c r="M831" i="1"/>
  <c r="BA831" i="1" s="1"/>
  <c r="U831" i="1"/>
  <c r="W831" i="1"/>
  <c r="X831" i="1"/>
  <c r="Y831" i="1"/>
  <c r="Z831" i="1"/>
  <c r="AC831" i="1"/>
  <c r="AE831" i="1"/>
  <c r="AF831" i="1"/>
  <c r="AJ831" i="1"/>
  <c r="AK831" i="1"/>
  <c r="AY831" i="1"/>
  <c r="BE831" i="1"/>
  <c r="K832" i="1"/>
  <c r="AG832" i="1"/>
  <c r="M832" i="1"/>
  <c r="BA832" i="1" s="1"/>
  <c r="U832" i="1"/>
  <c r="W832" i="1"/>
  <c r="X832" i="1"/>
  <c r="Y832" i="1"/>
  <c r="Z832" i="1"/>
  <c r="AC832" i="1"/>
  <c r="AE832" i="1"/>
  <c r="AF832" i="1"/>
  <c r="AJ832" i="1"/>
  <c r="AK832" i="1"/>
  <c r="BD832" i="1" s="1"/>
  <c r="AB832" i="1" s="1"/>
  <c r="AY832" i="1"/>
  <c r="BE832" i="1"/>
  <c r="K833" i="1"/>
  <c r="AG833" i="1" s="1"/>
  <c r="M833" i="1"/>
  <c r="BA833" i="1" s="1"/>
  <c r="U833" i="1"/>
  <c r="W833" i="1"/>
  <c r="X833" i="1"/>
  <c r="Y833" i="1"/>
  <c r="Z833" i="1"/>
  <c r="AC833" i="1"/>
  <c r="AE833" i="1"/>
  <c r="AF833" i="1"/>
  <c r="AJ833" i="1"/>
  <c r="AK833" i="1"/>
  <c r="BD833" i="1" s="1"/>
  <c r="AB833" i="1" s="1"/>
  <c r="AY833" i="1"/>
  <c r="BE833" i="1"/>
  <c r="K834" i="1"/>
  <c r="AG834" i="1" s="1"/>
  <c r="M834" i="1"/>
  <c r="BA834" i="1"/>
  <c r="U834" i="1"/>
  <c r="W834" i="1"/>
  <c r="X834" i="1"/>
  <c r="Y834" i="1"/>
  <c r="Z834" i="1"/>
  <c r="AC834" i="1"/>
  <c r="AE834" i="1"/>
  <c r="AF834" i="1"/>
  <c r="AJ834" i="1"/>
  <c r="AR834" i="1"/>
  <c r="AK834" i="1"/>
  <c r="AS834" i="1" s="1"/>
  <c r="AY834" i="1"/>
  <c r="BE834" i="1"/>
  <c r="K835" i="1"/>
  <c r="AG835" i="1"/>
  <c r="M835" i="1"/>
  <c r="BA835" i="1"/>
  <c r="U835" i="1"/>
  <c r="W835" i="1"/>
  <c r="X835" i="1"/>
  <c r="Y835" i="1"/>
  <c r="Z835" i="1"/>
  <c r="AC835" i="1"/>
  <c r="AE835" i="1"/>
  <c r="AF835" i="1"/>
  <c r="AJ835" i="1"/>
  <c r="I835" i="1" s="1"/>
  <c r="AK835" i="1"/>
  <c r="J835" i="1" s="1"/>
  <c r="AY835" i="1"/>
  <c r="BE835" i="1"/>
  <c r="K836" i="1"/>
  <c r="AG836" i="1"/>
  <c r="M836" i="1"/>
  <c r="U836" i="1"/>
  <c r="W836" i="1"/>
  <c r="X836" i="1"/>
  <c r="Y836" i="1"/>
  <c r="Z836" i="1"/>
  <c r="AC836" i="1"/>
  <c r="AE836" i="1"/>
  <c r="AF836" i="1"/>
  <c r="AJ836" i="1"/>
  <c r="BC836" i="1" s="1"/>
  <c r="AA836" i="1" s="1"/>
  <c r="AK836" i="1"/>
  <c r="AY836" i="1"/>
  <c r="BE836" i="1"/>
  <c r="K837" i="1"/>
  <c r="AG837" i="1"/>
  <c r="M837" i="1"/>
  <c r="BA837" i="1" s="1"/>
  <c r="U837" i="1"/>
  <c r="W837" i="1"/>
  <c r="X837" i="1"/>
  <c r="Y837" i="1"/>
  <c r="Z837" i="1"/>
  <c r="AC837" i="1"/>
  <c r="AE837" i="1"/>
  <c r="AF837" i="1"/>
  <c r="AJ837" i="1"/>
  <c r="I837" i="1" s="1"/>
  <c r="AK837" i="1"/>
  <c r="AY837" i="1"/>
  <c r="BE837" i="1"/>
  <c r="K838" i="1"/>
  <c r="AG838" i="1" s="1"/>
  <c r="M838" i="1"/>
  <c r="BA838" i="1" s="1"/>
  <c r="U838" i="1"/>
  <c r="W838" i="1"/>
  <c r="X838" i="1"/>
  <c r="Y838" i="1"/>
  <c r="Z838" i="1"/>
  <c r="AC838" i="1"/>
  <c r="AE838" i="1"/>
  <c r="AF838" i="1"/>
  <c r="AJ838" i="1"/>
  <c r="AK838" i="1"/>
  <c r="BD838" i="1" s="1"/>
  <c r="AB838" i="1" s="1"/>
  <c r="AY838" i="1"/>
  <c r="BE838" i="1"/>
  <c r="K839" i="1"/>
  <c r="AG839" i="1" s="1"/>
  <c r="M839" i="1"/>
  <c r="BA839" i="1"/>
  <c r="U839" i="1"/>
  <c r="W839" i="1"/>
  <c r="X839" i="1"/>
  <c r="Y839" i="1"/>
  <c r="Z839" i="1"/>
  <c r="AC839" i="1"/>
  <c r="AE839" i="1"/>
  <c r="AF839" i="1"/>
  <c r="AJ839" i="1"/>
  <c r="AR839" i="1"/>
  <c r="AK839" i="1"/>
  <c r="AS839" i="1" s="1"/>
  <c r="AY839" i="1"/>
  <c r="BE839" i="1"/>
  <c r="K840" i="1"/>
  <c r="AG840" i="1"/>
  <c r="M840" i="1"/>
  <c r="BA840" i="1"/>
  <c r="U840" i="1"/>
  <c r="W840" i="1"/>
  <c r="X840" i="1"/>
  <c r="Y840" i="1"/>
  <c r="Z840" i="1"/>
  <c r="AC840" i="1"/>
  <c r="AE840" i="1"/>
  <c r="AF840" i="1"/>
  <c r="AJ840" i="1"/>
  <c r="I840" i="1" s="1"/>
  <c r="AK840" i="1"/>
  <c r="AY840" i="1"/>
  <c r="BE840" i="1"/>
  <c r="K841" i="1"/>
  <c r="AG841" i="1" s="1"/>
  <c r="M841" i="1"/>
  <c r="BA841" i="1"/>
  <c r="U841" i="1"/>
  <c r="W841" i="1"/>
  <c r="X841" i="1"/>
  <c r="Y841" i="1"/>
  <c r="Z841" i="1"/>
  <c r="AC841" i="1"/>
  <c r="AE841" i="1"/>
  <c r="AF841" i="1"/>
  <c r="AJ841" i="1"/>
  <c r="AR841" i="1" s="1"/>
  <c r="AK841" i="1"/>
  <c r="AY841" i="1"/>
  <c r="BE841" i="1"/>
  <c r="K842" i="1"/>
  <c r="AG842" i="1"/>
  <c r="M842" i="1"/>
  <c r="BA842" i="1" s="1"/>
  <c r="U842" i="1"/>
  <c r="W842" i="1"/>
  <c r="X842" i="1"/>
  <c r="Y842" i="1"/>
  <c r="Z842" i="1"/>
  <c r="AC842" i="1"/>
  <c r="AE842" i="1"/>
  <c r="AF842" i="1"/>
  <c r="AJ842" i="1"/>
  <c r="I842" i="1" s="1"/>
  <c r="AK842" i="1"/>
  <c r="AY842" i="1"/>
  <c r="BE842" i="1"/>
  <c r="K843" i="1"/>
  <c r="AG843" i="1" s="1"/>
  <c r="M843" i="1"/>
  <c r="BA843" i="1" s="1"/>
  <c r="U843" i="1"/>
  <c r="W843" i="1"/>
  <c r="X843" i="1"/>
  <c r="Y843" i="1"/>
  <c r="Z843" i="1"/>
  <c r="AC843" i="1"/>
  <c r="AE843" i="1"/>
  <c r="AF843" i="1"/>
  <c r="AJ843" i="1"/>
  <c r="AR843" i="1"/>
  <c r="AK843" i="1"/>
  <c r="AY843" i="1"/>
  <c r="BE843" i="1"/>
  <c r="K844" i="1"/>
  <c r="AG844" i="1" s="1"/>
  <c r="M844" i="1"/>
  <c r="BA844" i="1" s="1"/>
  <c r="U844" i="1"/>
  <c r="W844" i="1"/>
  <c r="X844" i="1"/>
  <c r="Y844" i="1"/>
  <c r="Z844" i="1"/>
  <c r="AC844" i="1"/>
  <c r="AE844" i="1"/>
  <c r="AF844" i="1"/>
  <c r="AJ844" i="1"/>
  <c r="AR844" i="1"/>
  <c r="AK844" i="1"/>
  <c r="AS844" i="1"/>
  <c r="AY844" i="1"/>
  <c r="BE844" i="1"/>
  <c r="K845" i="1"/>
  <c r="AG845" i="1" s="1"/>
  <c r="M845" i="1"/>
  <c r="BA845" i="1"/>
  <c r="U845" i="1"/>
  <c r="W845" i="1"/>
  <c r="X845" i="1"/>
  <c r="Y845" i="1"/>
  <c r="Z845" i="1"/>
  <c r="AC845" i="1"/>
  <c r="AE845" i="1"/>
  <c r="AF845" i="1"/>
  <c r="AJ845" i="1"/>
  <c r="AR845" i="1"/>
  <c r="AK845" i="1"/>
  <c r="J845" i="1" s="1"/>
  <c r="AY845" i="1"/>
  <c r="BE845" i="1"/>
  <c r="K846" i="1"/>
  <c r="AG846" i="1"/>
  <c r="M846" i="1"/>
  <c r="BA846" i="1"/>
  <c r="U846" i="1"/>
  <c r="W846" i="1"/>
  <c r="X846" i="1"/>
  <c r="Y846" i="1"/>
  <c r="Z846" i="1"/>
  <c r="AC846" i="1"/>
  <c r="AE846" i="1"/>
  <c r="AF846" i="1"/>
  <c r="AJ846" i="1"/>
  <c r="AK846" i="1"/>
  <c r="BD846" i="1" s="1"/>
  <c r="AB846" i="1" s="1"/>
  <c r="AY846" i="1"/>
  <c r="BE846" i="1"/>
  <c r="K847" i="1"/>
  <c r="AG847" i="1"/>
  <c r="M847" i="1"/>
  <c r="BA847" i="1" s="1"/>
  <c r="U847" i="1"/>
  <c r="W847" i="1"/>
  <c r="X847" i="1"/>
  <c r="Y847" i="1"/>
  <c r="Z847" i="1"/>
  <c r="AC847" i="1"/>
  <c r="AE847" i="1"/>
  <c r="AF847" i="1"/>
  <c r="AJ847" i="1"/>
  <c r="AR847" i="1" s="1"/>
  <c r="AK847" i="1"/>
  <c r="J847" i="1"/>
  <c r="AY847" i="1"/>
  <c r="BE847" i="1"/>
  <c r="K848" i="1"/>
  <c r="AG848" i="1" s="1"/>
  <c r="M848" i="1"/>
  <c r="BA848" i="1" s="1"/>
  <c r="U848" i="1"/>
  <c r="W848" i="1"/>
  <c r="X848" i="1"/>
  <c r="Y848" i="1"/>
  <c r="Z848" i="1"/>
  <c r="AC848" i="1"/>
  <c r="AE848" i="1"/>
  <c r="AF848" i="1"/>
  <c r="AJ848" i="1"/>
  <c r="AK848" i="1"/>
  <c r="AY848" i="1"/>
  <c r="BE848" i="1"/>
  <c r="K849" i="1"/>
  <c r="AG849" i="1" s="1"/>
  <c r="M849" i="1"/>
  <c r="BA849" i="1" s="1"/>
  <c r="U849" i="1"/>
  <c r="W849" i="1"/>
  <c r="X849" i="1"/>
  <c r="Y849" i="1"/>
  <c r="Z849" i="1"/>
  <c r="AC849" i="1"/>
  <c r="AE849" i="1"/>
  <c r="AF849" i="1"/>
  <c r="AJ849" i="1"/>
  <c r="I849" i="1"/>
  <c r="AK849" i="1"/>
  <c r="BD849" i="1"/>
  <c r="AB849" i="1"/>
  <c r="AY849" i="1"/>
  <c r="BE849" i="1"/>
  <c r="K850" i="1"/>
  <c r="AG850" i="1"/>
  <c r="M850" i="1"/>
  <c r="BA850" i="1" s="1"/>
  <c r="U850" i="1"/>
  <c r="W850" i="1"/>
  <c r="X850" i="1"/>
  <c r="Y850" i="1"/>
  <c r="Z850" i="1"/>
  <c r="AC850" i="1"/>
  <c r="AE850" i="1"/>
  <c r="AF850" i="1"/>
  <c r="AJ850" i="1"/>
  <c r="I850" i="1"/>
  <c r="AK850" i="1"/>
  <c r="J850" i="1" s="1"/>
  <c r="AY850" i="1"/>
  <c r="BE850" i="1"/>
  <c r="K851" i="1"/>
  <c r="AG851" i="1" s="1"/>
  <c r="M851" i="1"/>
  <c r="BA851" i="1"/>
  <c r="U851" i="1"/>
  <c r="W851" i="1"/>
  <c r="X851" i="1"/>
  <c r="Y851" i="1"/>
  <c r="Z851" i="1"/>
  <c r="AC851" i="1"/>
  <c r="AE851" i="1"/>
  <c r="AF851" i="1"/>
  <c r="AJ851" i="1"/>
  <c r="AR851" i="1" s="1"/>
  <c r="AK851" i="1"/>
  <c r="AS851" i="1"/>
  <c r="AY851" i="1"/>
  <c r="BE851" i="1"/>
  <c r="K852" i="1"/>
  <c r="AG852" i="1" s="1"/>
  <c r="M852" i="1"/>
  <c r="BA852" i="1" s="1"/>
  <c r="U852" i="1"/>
  <c r="W852" i="1"/>
  <c r="X852" i="1"/>
  <c r="Y852" i="1"/>
  <c r="Z852" i="1"/>
  <c r="AC852" i="1"/>
  <c r="AE852" i="1"/>
  <c r="AF852" i="1"/>
  <c r="AJ852" i="1"/>
  <c r="I852" i="1" s="1"/>
  <c r="AK852" i="1"/>
  <c r="AS852" i="1" s="1"/>
  <c r="AY852" i="1"/>
  <c r="BE852" i="1"/>
  <c r="K853" i="1"/>
  <c r="AG853" i="1" s="1"/>
  <c r="M853" i="1"/>
  <c r="BA853" i="1" s="1"/>
  <c r="U853" i="1"/>
  <c r="W853" i="1"/>
  <c r="X853" i="1"/>
  <c r="Y853" i="1"/>
  <c r="Z853" i="1"/>
  <c r="AC853" i="1"/>
  <c r="AE853" i="1"/>
  <c r="AF853" i="1"/>
  <c r="AJ853" i="1"/>
  <c r="AR853" i="1" s="1"/>
  <c r="AK853" i="1"/>
  <c r="BD853" i="1"/>
  <c r="AB853" i="1"/>
  <c r="AY853" i="1"/>
  <c r="BE853" i="1"/>
  <c r="K854" i="1"/>
  <c r="AG854" i="1"/>
  <c r="M854" i="1"/>
  <c r="BA854" i="1"/>
  <c r="U854" i="1"/>
  <c r="W854" i="1"/>
  <c r="X854" i="1"/>
  <c r="Y854" i="1"/>
  <c r="Z854" i="1"/>
  <c r="AC854" i="1"/>
  <c r="AE854" i="1"/>
  <c r="AF854" i="1"/>
  <c r="AJ854" i="1"/>
  <c r="AK854" i="1"/>
  <c r="BD854" i="1" s="1"/>
  <c r="AB854" i="1" s="1"/>
  <c r="AY854" i="1"/>
  <c r="BE854" i="1"/>
  <c r="K855" i="1"/>
  <c r="AG855" i="1"/>
  <c r="M855" i="1"/>
  <c r="BA855" i="1"/>
  <c r="U855" i="1"/>
  <c r="W855" i="1"/>
  <c r="X855" i="1"/>
  <c r="Y855" i="1"/>
  <c r="Z855" i="1"/>
  <c r="AC855" i="1"/>
  <c r="AE855" i="1"/>
  <c r="AF855" i="1"/>
  <c r="AJ855" i="1"/>
  <c r="AK855" i="1"/>
  <c r="AY855" i="1"/>
  <c r="BE855" i="1"/>
  <c r="K856" i="1"/>
  <c r="AG856" i="1"/>
  <c r="M856" i="1"/>
  <c r="BA856" i="1"/>
  <c r="U856" i="1"/>
  <c r="W856" i="1"/>
  <c r="X856" i="1"/>
  <c r="Y856" i="1"/>
  <c r="Z856" i="1"/>
  <c r="AC856" i="1"/>
  <c r="AE856" i="1"/>
  <c r="AF856" i="1"/>
  <c r="AJ856" i="1"/>
  <c r="I856" i="1" s="1"/>
  <c r="AK856" i="1"/>
  <c r="AS856" i="1"/>
  <c r="AY856" i="1"/>
  <c r="BE856" i="1"/>
  <c r="K857" i="1"/>
  <c r="AG857" i="1" s="1"/>
  <c r="M857" i="1"/>
  <c r="BA857" i="1" s="1"/>
  <c r="U857" i="1"/>
  <c r="W857" i="1"/>
  <c r="X857" i="1"/>
  <c r="Y857" i="1"/>
  <c r="Z857" i="1"/>
  <c r="AC857" i="1"/>
  <c r="AE857" i="1"/>
  <c r="AF857" i="1"/>
  <c r="AJ857" i="1"/>
  <c r="AK857" i="1"/>
  <c r="AY857" i="1"/>
  <c r="BE857" i="1"/>
  <c r="K858" i="1"/>
  <c r="AG858" i="1"/>
  <c r="M858" i="1"/>
  <c r="U858" i="1"/>
  <c r="W858" i="1"/>
  <c r="X858" i="1"/>
  <c r="Y858" i="1"/>
  <c r="Z858" i="1"/>
  <c r="AC858" i="1"/>
  <c r="AE858" i="1"/>
  <c r="AF858" i="1"/>
  <c r="AJ858" i="1"/>
  <c r="BC858" i="1" s="1"/>
  <c r="AA858" i="1"/>
  <c r="AK858" i="1"/>
  <c r="AS858" i="1"/>
  <c r="AY858" i="1"/>
  <c r="BA858" i="1"/>
  <c r="BE858" i="1"/>
  <c r="K859" i="1"/>
  <c r="AG859" i="1"/>
  <c r="M859" i="1"/>
  <c r="BA859" i="1"/>
  <c r="U859" i="1"/>
  <c r="W859" i="1"/>
  <c r="X859" i="1"/>
  <c r="Y859" i="1"/>
  <c r="Z859" i="1"/>
  <c r="AC859" i="1"/>
  <c r="AE859" i="1"/>
  <c r="AF859" i="1"/>
  <c r="AJ859" i="1"/>
  <c r="BC859" i="1"/>
  <c r="AA859" i="1" s="1"/>
  <c r="AK859" i="1"/>
  <c r="AY859" i="1"/>
  <c r="BE859" i="1"/>
  <c r="K860" i="1"/>
  <c r="AG860" i="1"/>
  <c r="M860" i="1"/>
  <c r="BA860" i="1"/>
  <c r="U860" i="1"/>
  <c r="W860" i="1"/>
  <c r="X860" i="1"/>
  <c r="Y860" i="1"/>
  <c r="Z860" i="1"/>
  <c r="AC860" i="1"/>
  <c r="AE860" i="1"/>
  <c r="AF860" i="1"/>
  <c r="AJ860" i="1"/>
  <c r="BC860" i="1" s="1"/>
  <c r="AA860" i="1" s="1"/>
  <c r="AK860" i="1"/>
  <c r="BD860" i="1"/>
  <c r="AB860" i="1"/>
  <c r="AY860" i="1"/>
  <c r="BE860" i="1"/>
  <c r="K861" i="1"/>
  <c r="AG861" i="1" s="1"/>
  <c r="M861" i="1"/>
  <c r="BA861" i="1" s="1"/>
  <c r="U861" i="1"/>
  <c r="W861" i="1"/>
  <c r="X861" i="1"/>
  <c r="Y861" i="1"/>
  <c r="Z861" i="1"/>
  <c r="AC861" i="1"/>
  <c r="AE861" i="1"/>
  <c r="AF861" i="1"/>
  <c r="AJ861" i="1"/>
  <c r="BC861" i="1"/>
  <c r="AA861" i="1" s="1"/>
  <c r="AK861" i="1"/>
  <c r="J861" i="1"/>
  <c r="AY861" i="1"/>
  <c r="BE861" i="1"/>
  <c r="K863" i="1"/>
  <c r="AG863" i="1"/>
  <c r="M863" i="1"/>
  <c r="BA863" i="1" s="1"/>
  <c r="U863" i="1"/>
  <c r="W863" i="1"/>
  <c r="X863" i="1"/>
  <c r="Y863" i="1"/>
  <c r="Z863" i="1"/>
  <c r="AC863" i="1"/>
  <c r="AE863" i="1"/>
  <c r="AF863" i="1"/>
  <c r="AJ863" i="1"/>
  <c r="I863" i="1"/>
  <c r="AK863" i="1"/>
  <c r="AY863" i="1"/>
  <c r="BE863" i="1"/>
  <c r="K864" i="1"/>
  <c r="AG864" i="1"/>
  <c r="M864" i="1"/>
  <c r="BA864" i="1" s="1"/>
  <c r="U864" i="1"/>
  <c r="W864" i="1"/>
  <c r="X864" i="1"/>
  <c r="Y864" i="1"/>
  <c r="Z864" i="1"/>
  <c r="AC864" i="1"/>
  <c r="AE864" i="1"/>
  <c r="AF864" i="1"/>
  <c r="AJ864" i="1"/>
  <c r="BC864" i="1" s="1"/>
  <c r="AA864" i="1" s="1"/>
  <c r="AK864" i="1"/>
  <c r="J864" i="1"/>
  <c r="AY864" i="1"/>
  <c r="BE864" i="1"/>
  <c r="K865" i="1"/>
  <c r="AG865" i="1" s="1"/>
  <c r="M865" i="1"/>
  <c r="BA865" i="1" s="1"/>
  <c r="U865" i="1"/>
  <c r="W865" i="1"/>
  <c r="X865" i="1"/>
  <c r="Y865" i="1"/>
  <c r="Z865" i="1"/>
  <c r="AC865" i="1"/>
  <c r="AE865" i="1"/>
  <c r="AF865" i="1"/>
  <c r="AJ865" i="1"/>
  <c r="AK865" i="1"/>
  <c r="AY865" i="1"/>
  <c r="BE865" i="1"/>
  <c r="K866" i="1"/>
  <c r="AG866" i="1"/>
  <c r="M866" i="1"/>
  <c r="BA866" i="1" s="1"/>
  <c r="U866" i="1"/>
  <c r="W866" i="1"/>
  <c r="X866" i="1"/>
  <c r="Y866" i="1"/>
  <c r="Z866" i="1"/>
  <c r="AC866" i="1"/>
  <c r="AE866" i="1"/>
  <c r="AF866" i="1"/>
  <c r="AJ866" i="1"/>
  <c r="AR866" i="1"/>
  <c r="AK866" i="1"/>
  <c r="AS866" i="1" s="1"/>
  <c r="AY866" i="1"/>
  <c r="BE866" i="1"/>
  <c r="K867" i="1"/>
  <c r="AG867" i="1" s="1"/>
  <c r="M867" i="1"/>
  <c r="BA867" i="1"/>
  <c r="U867" i="1"/>
  <c r="W867" i="1"/>
  <c r="X867" i="1"/>
  <c r="Y867" i="1"/>
  <c r="Z867" i="1"/>
  <c r="AC867" i="1"/>
  <c r="AE867" i="1"/>
  <c r="AF867" i="1"/>
  <c r="AJ867" i="1"/>
  <c r="BC867" i="1" s="1"/>
  <c r="AA867" i="1" s="1"/>
  <c r="AK867" i="1"/>
  <c r="AY867" i="1"/>
  <c r="BE867" i="1"/>
  <c r="K868" i="1"/>
  <c r="AG868" i="1"/>
  <c r="M868" i="1"/>
  <c r="BA868" i="1" s="1"/>
  <c r="U868" i="1"/>
  <c r="W868" i="1"/>
  <c r="X868" i="1"/>
  <c r="Y868" i="1"/>
  <c r="Z868" i="1"/>
  <c r="AC868" i="1"/>
  <c r="AE868" i="1"/>
  <c r="AF868" i="1"/>
  <c r="AJ868" i="1"/>
  <c r="AK868" i="1"/>
  <c r="AS868" i="1" s="1"/>
  <c r="AY868" i="1"/>
  <c r="BE868" i="1"/>
  <c r="K869" i="1"/>
  <c r="AG869" i="1"/>
  <c r="M869" i="1"/>
  <c r="BA869" i="1" s="1"/>
  <c r="U869" i="1"/>
  <c r="W869" i="1"/>
  <c r="X869" i="1"/>
  <c r="Y869" i="1"/>
  <c r="Z869" i="1"/>
  <c r="AC869" i="1"/>
  <c r="AE869" i="1"/>
  <c r="AF869" i="1"/>
  <c r="AJ869" i="1"/>
  <c r="I869" i="1" s="1"/>
  <c r="AK869" i="1"/>
  <c r="BD869" i="1" s="1"/>
  <c r="AB869" i="1" s="1"/>
  <c r="AY869" i="1"/>
  <c r="BE869" i="1"/>
  <c r="K870" i="1"/>
  <c r="AG870" i="1"/>
  <c r="M870" i="1"/>
  <c r="BA870" i="1" s="1"/>
  <c r="U870" i="1"/>
  <c r="W870" i="1"/>
  <c r="X870" i="1"/>
  <c r="Y870" i="1"/>
  <c r="Z870" i="1"/>
  <c r="AC870" i="1"/>
  <c r="AE870" i="1"/>
  <c r="AF870" i="1"/>
  <c r="AJ870" i="1"/>
  <c r="BC870" i="1"/>
  <c r="AA870" i="1" s="1"/>
  <c r="AK870" i="1"/>
  <c r="J870" i="1" s="1"/>
  <c r="AY870" i="1"/>
  <c r="BE870" i="1"/>
  <c r="K871" i="1"/>
  <c r="AG871" i="1"/>
  <c r="M871" i="1"/>
  <c r="BA871" i="1" s="1"/>
  <c r="U871" i="1"/>
  <c r="W871" i="1"/>
  <c r="X871" i="1"/>
  <c r="Y871" i="1"/>
  <c r="Z871" i="1"/>
  <c r="AC871" i="1"/>
  <c r="AE871" i="1"/>
  <c r="AF871" i="1"/>
  <c r="AJ871" i="1"/>
  <c r="AK871" i="1"/>
  <c r="AY871" i="1"/>
  <c r="BE871" i="1"/>
  <c r="K872" i="1"/>
  <c r="AG872" i="1"/>
  <c r="M872" i="1"/>
  <c r="BA872" i="1" s="1"/>
  <c r="U872" i="1"/>
  <c r="W872" i="1"/>
  <c r="X872" i="1"/>
  <c r="Y872" i="1"/>
  <c r="Z872" i="1"/>
  <c r="AC872" i="1"/>
  <c r="AE872" i="1"/>
  <c r="AF872" i="1"/>
  <c r="AJ872" i="1"/>
  <c r="I872" i="1" s="1"/>
  <c r="AK872" i="1"/>
  <c r="AS872" i="1" s="1"/>
  <c r="AY872" i="1"/>
  <c r="BE872" i="1"/>
  <c r="K873" i="1"/>
  <c r="M873" i="1"/>
  <c r="BA873" i="1" s="1"/>
  <c r="U873" i="1"/>
  <c r="W873" i="1"/>
  <c r="X873" i="1"/>
  <c r="Y873" i="1"/>
  <c r="Z873" i="1"/>
  <c r="AC873" i="1"/>
  <c r="AE873" i="1"/>
  <c r="AF873" i="1"/>
  <c r="AJ873" i="1"/>
  <c r="AR873" i="1" s="1"/>
  <c r="AK873" i="1"/>
  <c r="J873" i="1" s="1"/>
  <c r="AY873" i="1"/>
  <c r="BE873" i="1"/>
  <c r="K874" i="1"/>
  <c r="AG874" i="1"/>
  <c r="M874" i="1"/>
  <c r="BA874" i="1"/>
  <c r="U874" i="1"/>
  <c r="W874" i="1"/>
  <c r="X874" i="1"/>
  <c r="Y874" i="1"/>
  <c r="Z874" i="1"/>
  <c r="AC874" i="1"/>
  <c r="AE874" i="1"/>
  <c r="AF874" i="1"/>
  <c r="AJ874" i="1"/>
  <c r="I874" i="1" s="1"/>
  <c r="AK874" i="1"/>
  <c r="J874" i="1"/>
  <c r="AY874" i="1"/>
  <c r="BE874" i="1"/>
  <c r="K875" i="1"/>
  <c r="AG875" i="1" s="1"/>
  <c r="M875" i="1"/>
  <c r="BA875" i="1" s="1"/>
  <c r="U875" i="1"/>
  <c r="W875" i="1"/>
  <c r="X875" i="1"/>
  <c r="Y875" i="1"/>
  <c r="Z875" i="1"/>
  <c r="AC875" i="1"/>
  <c r="AE875" i="1"/>
  <c r="AF875" i="1"/>
  <c r="AJ875" i="1"/>
  <c r="I875" i="1"/>
  <c r="AK875" i="1"/>
  <c r="AS875" i="1"/>
  <c r="AY875" i="1"/>
  <c r="BE875" i="1"/>
  <c r="K876" i="1"/>
  <c r="AG876" i="1" s="1"/>
  <c r="M876" i="1"/>
  <c r="BA876" i="1"/>
  <c r="U876" i="1"/>
  <c r="W876" i="1"/>
  <c r="X876" i="1"/>
  <c r="Y876" i="1"/>
  <c r="Z876" i="1"/>
  <c r="AC876" i="1"/>
  <c r="AE876" i="1"/>
  <c r="AF876" i="1"/>
  <c r="AJ876" i="1"/>
  <c r="BC876" i="1"/>
  <c r="AA876" i="1"/>
  <c r="AK876" i="1"/>
  <c r="AY876" i="1"/>
  <c r="BE876" i="1"/>
  <c r="K877" i="1"/>
  <c r="AG877" i="1"/>
  <c r="M877" i="1"/>
  <c r="BA877" i="1"/>
  <c r="U877" i="1"/>
  <c r="W877" i="1"/>
  <c r="X877" i="1"/>
  <c r="Y877" i="1"/>
  <c r="Z877" i="1"/>
  <c r="AC877" i="1"/>
  <c r="AE877" i="1"/>
  <c r="AF877" i="1"/>
  <c r="AJ877" i="1"/>
  <c r="AK877" i="1"/>
  <c r="J877" i="1"/>
  <c r="AY877" i="1"/>
  <c r="BE877" i="1"/>
  <c r="K878" i="1"/>
  <c r="AG878" i="1" s="1"/>
  <c r="M878" i="1"/>
  <c r="BA878" i="1"/>
  <c r="U878" i="1"/>
  <c r="W878" i="1"/>
  <c r="X878" i="1"/>
  <c r="Y878" i="1"/>
  <c r="Z878" i="1"/>
  <c r="AC878" i="1"/>
  <c r="AE878" i="1"/>
  <c r="AF878" i="1"/>
  <c r="AJ878" i="1"/>
  <c r="I878" i="1"/>
  <c r="AK878" i="1"/>
  <c r="J878" i="1" s="1"/>
  <c r="AY878" i="1"/>
  <c r="BE878" i="1"/>
  <c r="K879" i="1"/>
  <c r="AG879" i="1"/>
  <c r="M879" i="1"/>
  <c r="BA879" i="1"/>
  <c r="U879" i="1"/>
  <c r="W879" i="1"/>
  <c r="X879" i="1"/>
  <c r="Y879" i="1"/>
  <c r="Z879" i="1"/>
  <c r="AC879" i="1"/>
  <c r="AE879" i="1"/>
  <c r="AF879" i="1"/>
  <c r="AJ879" i="1"/>
  <c r="AK879" i="1"/>
  <c r="BD879" i="1"/>
  <c r="AB879" i="1" s="1"/>
  <c r="AY879" i="1"/>
  <c r="BE879" i="1"/>
  <c r="K880" i="1"/>
  <c r="AG880" i="1"/>
  <c r="M880" i="1"/>
  <c r="BA880" i="1" s="1"/>
  <c r="U880" i="1"/>
  <c r="W880" i="1"/>
  <c r="X880" i="1"/>
  <c r="Y880" i="1"/>
  <c r="Z880" i="1"/>
  <c r="AC880" i="1"/>
  <c r="AE880" i="1"/>
  <c r="AF880" i="1"/>
  <c r="AJ880" i="1"/>
  <c r="I880" i="1" s="1"/>
  <c r="AK880" i="1"/>
  <c r="BD880" i="1"/>
  <c r="AB880" i="1" s="1"/>
  <c r="AY880" i="1"/>
  <c r="BE880" i="1"/>
  <c r="K881" i="1"/>
  <c r="AG881" i="1"/>
  <c r="M881" i="1"/>
  <c r="BA881" i="1" s="1"/>
  <c r="U881" i="1"/>
  <c r="W881" i="1"/>
  <c r="X881" i="1"/>
  <c r="Y881" i="1"/>
  <c r="Z881" i="1"/>
  <c r="AC881" i="1"/>
  <c r="AE881" i="1"/>
  <c r="AF881" i="1"/>
  <c r="AJ881" i="1"/>
  <c r="AK881" i="1"/>
  <c r="BD881" i="1"/>
  <c r="AB881" i="1" s="1"/>
  <c r="AY881" i="1"/>
  <c r="BE881" i="1"/>
  <c r="K882" i="1"/>
  <c r="AG882" i="1"/>
  <c r="M882" i="1"/>
  <c r="BA882" i="1" s="1"/>
  <c r="U882" i="1"/>
  <c r="W882" i="1"/>
  <c r="X882" i="1"/>
  <c r="Y882" i="1"/>
  <c r="Z882" i="1"/>
  <c r="AC882" i="1"/>
  <c r="AE882" i="1"/>
  <c r="AF882" i="1"/>
  <c r="AJ882" i="1"/>
  <c r="AK882" i="1"/>
  <c r="AY882" i="1"/>
  <c r="BE882" i="1"/>
  <c r="K883" i="1"/>
  <c r="AG883" i="1"/>
  <c r="M883" i="1"/>
  <c r="BA883" i="1" s="1"/>
  <c r="U883" i="1"/>
  <c r="W883" i="1"/>
  <c r="X883" i="1"/>
  <c r="Y883" i="1"/>
  <c r="Z883" i="1"/>
  <c r="AC883" i="1"/>
  <c r="AE883" i="1"/>
  <c r="AF883" i="1"/>
  <c r="AJ883" i="1"/>
  <c r="AK883" i="1"/>
  <c r="BD883" i="1" s="1"/>
  <c r="AB883" i="1" s="1"/>
  <c r="AY883" i="1"/>
  <c r="BE883" i="1"/>
  <c r="K884" i="1"/>
  <c r="AG884" i="1" s="1"/>
  <c r="M884" i="1"/>
  <c r="BA884" i="1" s="1"/>
  <c r="U884" i="1"/>
  <c r="W884" i="1"/>
  <c r="X884" i="1"/>
  <c r="Y884" i="1"/>
  <c r="Z884" i="1"/>
  <c r="AC884" i="1"/>
  <c r="AE884" i="1"/>
  <c r="AF884" i="1"/>
  <c r="AJ884" i="1"/>
  <c r="I884" i="1"/>
  <c r="AK884" i="1"/>
  <c r="AS884" i="1" s="1"/>
  <c r="AY884" i="1"/>
  <c r="BE884" i="1"/>
  <c r="K885" i="1"/>
  <c r="AG885" i="1" s="1"/>
  <c r="M885" i="1"/>
  <c r="BA885" i="1"/>
  <c r="U885" i="1"/>
  <c r="W885" i="1"/>
  <c r="X885" i="1"/>
  <c r="Y885" i="1"/>
  <c r="Z885" i="1"/>
  <c r="AC885" i="1"/>
  <c r="AE885" i="1"/>
  <c r="AF885" i="1"/>
  <c r="AJ885" i="1"/>
  <c r="AK885" i="1"/>
  <c r="BD885" i="1"/>
  <c r="AB885" i="1" s="1"/>
  <c r="AY885" i="1"/>
  <c r="BE885" i="1"/>
  <c r="K886" i="1"/>
  <c r="AG886" i="1"/>
  <c r="M886" i="1"/>
  <c r="BA886" i="1"/>
  <c r="U886" i="1"/>
  <c r="W886" i="1"/>
  <c r="X886" i="1"/>
  <c r="Y886" i="1"/>
  <c r="Z886" i="1"/>
  <c r="AC886" i="1"/>
  <c r="AE886" i="1"/>
  <c r="AF886" i="1"/>
  <c r="AJ886" i="1"/>
  <c r="AK886" i="1"/>
  <c r="J886" i="1"/>
  <c r="AY886" i="1"/>
  <c r="BE886" i="1"/>
  <c r="K887" i="1"/>
  <c r="AG887" i="1" s="1"/>
  <c r="M887" i="1"/>
  <c r="BA887" i="1"/>
  <c r="U887" i="1"/>
  <c r="W887" i="1"/>
  <c r="X887" i="1"/>
  <c r="Y887" i="1"/>
  <c r="Z887" i="1"/>
  <c r="AC887" i="1"/>
  <c r="AE887" i="1"/>
  <c r="AF887" i="1"/>
  <c r="AJ887" i="1"/>
  <c r="AK887" i="1"/>
  <c r="AY887" i="1"/>
  <c r="BE887" i="1"/>
  <c r="K888" i="1"/>
  <c r="AG888" i="1" s="1"/>
  <c r="M888" i="1"/>
  <c r="U888" i="1"/>
  <c r="W888" i="1"/>
  <c r="X888" i="1"/>
  <c r="Y888" i="1"/>
  <c r="Z888" i="1"/>
  <c r="AC888" i="1"/>
  <c r="AE888" i="1"/>
  <c r="AF888" i="1"/>
  <c r="AJ888" i="1"/>
  <c r="BC888" i="1" s="1"/>
  <c r="AA888" i="1" s="1"/>
  <c r="AK888" i="1"/>
  <c r="AS888" i="1" s="1"/>
  <c r="AY888" i="1"/>
  <c r="BE888" i="1"/>
  <c r="K889" i="1"/>
  <c r="AG889" i="1"/>
  <c r="M889" i="1"/>
  <c r="BA889" i="1"/>
  <c r="U889" i="1"/>
  <c r="W889" i="1"/>
  <c r="X889" i="1"/>
  <c r="Y889" i="1"/>
  <c r="Z889" i="1"/>
  <c r="AC889" i="1"/>
  <c r="AE889" i="1"/>
  <c r="AF889" i="1"/>
  <c r="AJ889" i="1"/>
  <c r="AR889" i="1" s="1"/>
  <c r="AK889" i="1"/>
  <c r="AY889" i="1"/>
  <c r="BE889" i="1"/>
  <c r="K890" i="1"/>
  <c r="AG890" i="1" s="1"/>
  <c r="M890" i="1"/>
  <c r="BA890" i="1" s="1"/>
  <c r="U890" i="1"/>
  <c r="W890" i="1"/>
  <c r="X890" i="1"/>
  <c r="Y890" i="1"/>
  <c r="Z890" i="1"/>
  <c r="AC890" i="1"/>
  <c r="AE890" i="1"/>
  <c r="AF890" i="1"/>
  <c r="AJ890" i="1"/>
  <c r="AR890" i="1"/>
  <c r="AK890" i="1"/>
  <c r="AS890" i="1" s="1"/>
  <c r="AY890" i="1"/>
  <c r="BE890" i="1"/>
  <c r="K891" i="1"/>
  <c r="AG891" i="1" s="1"/>
  <c r="M891" i="1"/>
  <c r="BA891" i="1"/>
  <c r="U891" i="1"/>
  <c r="W891" i="1"/>
  <c r="X891" i="1"/>
  <c r="Y891" i="1"/>
  <c r="Z891" i="1"/>
  <c r="AC891" i="1"/>
  <c r="AE891" i="1"/>
  <c r="AF891" i="1"/>
  <c r="AJ891" i="1"/>
  <c r="I891" i="1" s="1"/>
  <c r="AK891" i="1"/>
  <c r="J891" i="1" s="1"/>
  <c r="AY891" i="1"/>
  <c r="BE891" i="1"/>
  <c r="K892" i="1"/>
  <c r="AG892" i="1"/>
  <c r="M892" i="1"/>
  <c r="BA892" i="1" s="1"/>
  <c r="U892" i="1"/>
  <c r="W892" i="1"/>
  <c r="X892" i="1"/>
  <c r="Y892" i="1"/>
  <c r="Z892" i="1"/>
  <c r="AC892" i="1"/>
  <c r="AE892" i="1"/>
  <c r="AF892" i="1"/>
  <c r="AJ892" i="1"/>
  <c r="AR892" i="1" s="1"/>
  <c r="AK892" i="1"/>
  <c r="AY892" i="1"/>
  <c r="BE892" i="1"/>
  <c r="K893" i="1"/>
  <c r="AG893" i="1" s="1"/>
  <c r="M893" i="1"/>
  <c r="BA893" i="1"/>
  <c r="U893" i="1"/>
  <c r="W893" i="1"/>
  <c r="X893" i="1"/>
  <c r="Y893" i="1"/>
  <c r="Z893" i="1"/>
  <c r="AC893" i="1"/>
  <c r="AE893" i="1"/>
  <c r="AF893" i="1"/>
  <c r="AJ893" i="1"/>
  <c r="I893" i="1"/>
  <c r="AK893" i="1"/>
  <c r="AY893" i="1"/>
  <c r="BE893" i="1"/>
  <c r="K894" i="1"/>
  <c r="AG894" i="1"/>
  <c r="M894" i="1"/>
  <c r="BA894" i="1" s="1"/>
  <c r="U894" i="1"/>
  <c r="W894" i="1"/>
  <c r="X894" i="1"/>
  <c r="Y894" i="1"/>
  <c r="Z894" i="1"/>
  <c r="AC894" i="1"/>
  <c r="AE894" i="1"/>
  <c r="AF894" i="1"/>
  <c r="AJ894" i="1"/>
  <c r="BC894" i="1" s="1"/>
  <c r="AA894" i="1" s="1"/>
  <c r="AK894" i="1"/>
  <c r="J894" i="1" s="1"/>
  <c r="AY894" i="1"/>
  <c r="BE894" i="1"/>
  <c r="K895" i="1"/>
  <c r="AG895" i="1"/>
  <c r="M895" i="1"/>
  <c r="BA895" i="1"/>
  <c r="U895" i="1"/>
  <c r="W895" i="1"/>
  <c r="X895" i="1"/>
  <c r="Y895" i="1"/>
  <c r="Z895" i="1"/>
  <c r="AC895" i="1"/>
  <c r="AE895" i="1"/>
  <c r="AF895" i="1"/>
  <c r="AJ895" i="1"/>
  <c r="AK895" i="1"/>
  <c r="BD895" i="1"/>
  <c r="AB895" i="1"/>
  <c r="AY895" i="1"/>
  <c r="BE895" i="1"/>
  <c r="K896" i="1"/>
  <c r="AG896" i="1"/>
  <c r="M896" i="1"/>
  <c r="BA896" i="1" s="1"/>
  <c r="U896" i="1"/>
  <c r="W896" i="1"/>
  <c r="X896" i="1"/>
  <c r="Y896" i="1"/>
  <c r="Z896" i="1"/>
  <c r="AC896" i="1"/>
  <c r="AE896" i="1"/>
  <c r="AF896" i="1"/>
  <c r="AJ896" i="1"/>
  <c r="AK896" i="1"/>
  <c r="BD896" i="1" s="1"/>
  <c r="AB896" i="1" s="1"/>
  <c r="AY896" i="1"/>
  <c r="BE896" i="1"/>
  <c r="K897" i="1"/>
  <c r="AG897" i="1" s="1"/>
  <c r="M897" i="1"/>
  <c r="BA897" i="1"/>
  <c r="U897" i="1"/>
  <c r="W897" i="1"/>
  <c r="X897" i="1"/>
  <c r="Y897" i="1"/>
  <c r="Z897" i="1"/>
  <c r="AC897" i="1"/>
  <c r="AE897" i="1"/>
  <c r="AF897" i="1"/>
  <c r="AJ897" i="1"/>
  <c r="I897" i="1"/>
  <c r="AK897" i="1"/>
  <c r="AY897" i="1"/>
  <c r="BE897" i="1"/>
  <c r="K898" i="1"/>
  <c r="AG898" i="1" s="1"/>
  <c r="M898" i="1"/>
  <c r="BA898" i="1" s="1"/>
  <c r="U898" i="1"/>
  <c r="W898" i="1"/>
  <c r="X898" i="1"/>
  <c r="Y898" i="1"/>
  <c r="Z898" i="1"/>
  <c r="AC898" i="1"/>
  <c r="AE898" i="1"/>
  <c r="AF898" i="1"/>
  <c r="AJ898" i="1"/>
  <c r="BC898" i="1" s="1"/>
  <c r="AA898" i="1" s="1"/>
  <c r="AK898" i="1"/>
  <c r="BD898" i="1" s="1"/>
  <c r="AB898" i="1" s="1"/>
  <c r="AY898" i="1"/>
  <c r="BE898" i="1"/>
  <c r="K899" i="1"/>
  <c r="AG899" i="1" s="1"/>
  <c r="M899" i="1"/>
  <c r="BA899" i="1" s="1"/>
  <c r="U899" i="1"/>
  <c r="W899" i="1"/>
  <c r="X899" i="1"/>
  <c r="Y899" i="1"/>
  <c r="Z899" i="1"/>
  <c r="AC899" i="1"/>
  <c r="AE899" i="1"/>
  <c r="AF899" i="1"/>
  <c r="AJ899" i="1"/>
  <c r="I899" i="1"/>
  <c r="AK899" i="1"/>
  <c r="BD899" i="1" s="1"/>
  <c r="AB899" i="1" s="1"/>
  <c r="AY899" i="1"/>
  <c r="BE899" i="1"/>
  <c r="K900" i="1"/>
  <c r="AG900" i="1"/>
  <c r="M900" i="1"/>
  <c r="BA900" i="1"/>
  <c r="U900" i="1"/>
  <c r="W900" i="1"/>
  <c r="X900" i="1"/>
  <c r="Y900" i="1"/>
  <c r="Z900" i="1"/>
  <c r="AC900" i="1"/>
  <c r="AE900" i="1"/>
  <c r="AF900" i="1"/>
  <c r="AJ900" i="1"/>
  <c r="BC900" i="1"/>
  <c r="AA900" i="1" s="1"/>
  <c r="AK900" i="1"/>
  <c r="AY900" i="1"/>
  <c r="BE900" i="1"/>
  <c r="K901" i="1"/>
  <c r="M901" i="1"/>
  <c r="BA901" i="1" s="1"/>
  <c r="U901" i="1"/>
  <c r="W901" i="1"/>
  <c r="X901" i="1"/>
  <c r="Y901" i="1"/>
  <c r="Z901" i="1"/>
  <c r="AC901" i="1"/>
  <c r="AE901" i="1"/>
  <c r="AF901" i="1"/>
  <c r="AJ901" i="1"/>
  <c r="AK901" i="1"/>
  <c r="AS901" i="1" s="1"/>
  <c r="AY901" i="1"/>
  <c r="BE901" i="1"/>
  <c r="K902" i="1"/>
  <c r="AG902" i="1"/>
  <c r="M902" i="1"/>
  <c r="BA902" i="1"/>
  <c r="U902" i="1"/>
  <c r="W902" i="1"/>
  <c r="X902" i="1"/>
  <c r="Y902" i="1"/>
  <c r="Z902" i="1"/>
  <c r="AC902" i="1"/>
  <c r="AE902" i="1"/>
  <c r="AF902" i="1"/>
  <c r="AJ902" i="1"/>
  <c r="AR902" i="1" s="1"/>
  <c r="AK902" i="1"/>
  <c r="AS902" i="1"/>
  <c r="AY902" i="1"/>
  <c r="BE902" i="1"/>
  <c r="K903" i="1"/>
  <c r="AG903" i="1"/>
  <c r="M903" i="1"/>
  <c r="BA903" i="1" s="1"/>
  <c r="U903" i="1"/>
  <c r="W903" i="1"/>
  <c r="X903" i="1"/>
  <c r="Y903" i="1"/>
  <c r="Z903" i="1"/>
  <c r="AC903" i="1"/>
  <c r="AE903" i="1"/>
  <c r="AF903" i="1"/>
  <c r="AJ903" i="1"/>
  <c r="AR903" i="1"/>
  <c r="AK903" i="1"/>
  <c r="AY903" i="1"/>
  <c r="BE903" i="1"/>
  <c r="K904" i="1"/>
  <c r="AG904" i="1" s="1"/>
  <c r="M904" i="1"/>
  <c r="BA904" i="1" s="1"/>
  <c r="U904" i="1"/>
  <c r="W904" i="1"/>
  <c r="X904" i="1"/>
  <c r="Y904" i="1"/>
  <c r="Z904" i="1"/>
  <c r="AC904" i="1"/>
  <c r="AE904" i="1"/>
  <c r="AF904" i="1"/>
  <c r="AJ904" i="1"/>
  <c r="AK904" i="1"/>
  <c r="AS904" i="1"/>
  <c r="AY904" i="1"/>
  <c r="BE904" i="1"/>
  <c r="K905" i="1"/>
  <c r="AG905" i="1" s="1"/>
  <c r="M905" i="1"/>
  <c r="BA905" i="1"/>
  <c r="U905" i="1"/>
  <c r="W905" i="1"/>
  <c r="X905" i="1"/>
  <c r="Y905" i="1"/>
  <c r="Z905" i="1"/>
  <c r="AC905" i="1"/>
  <c r="AE905" i="1"/>
  <c r="AF905" i="1"/>
  <c r="AJ905" i="1"/>
  <c r="I905" i="1"/>
  <c r="AK905" i="1"/>
  <c r="BD905" i="1"/>
  <c r="AB905" i="1" s="1"/>
  <c r="AY905" i="1"/>
  <c r="BE905" i="1"/>
  <c r="K906" i="1"/>
  <c r="AG906" i="1"/>
  <c r="M906" i="1"/>
  <c r="BA906" i="1" s="1"/>
  <c r="U906" i="1"/>
  <c r="W906" i="1"/>
  <c r="X906" i="1"/>
  <c r="Y906" i="1"/>
  <c r="Z906" i="1"/>
  <c r="AC906" i="1"/>
  <c r="AE906" i="1"/>
  <c r="AF906" i="1"/>
  <c r="AJ906" i="1"/>
  <c r="BC906" i="1" s="1"/>
  <c r="AA906" i="1" s="1"/>
  <c r="AK906" i="1"/>
  <c r="AY906" i="1"/>
  <c r="BE906" i="1"/>
  <c r="K907" i="1"/>
  <c r="AG907" i="1" s="1"/>
  <c r="M907" i="1"/>
  <c r="BA907" i="1" s="1"/>
  <c r="U907" i="1"/>
  <c r="W907" i="1"/>
  <c r="X907" i="1"/>
  <c r="Y907" i="1"/>
  <c r="Z907" i="1"/>
  <c r="AC907" i="1"/>
  <c r="AE907" i="1"/>
  <c r="AF907" i="1"/>
  <c r="AJ907" i="1"/>
  <c r="AK907" i="1"/>
  <c r="AS907" i="1" s="1"/>
  <c r="AY907" i="1"/>
  <c r="BE907" i="1"/>
  <c r="K908" i="1"/>
  <c r="AG908" i="1"/>
  <c r="M908" i="1"/>
  <c r="BA908" i="1"/>
  <c r="U908" i="1"/>
  <c r="W908" i="1"/>
  <c r="X908" i="1"/>
  <c r="Y908" i="1"/>
  <c r="Z908" i="1"/>
  <c r="AC908" i="1"/>
  <c r="AE908" i="1"/>
  <c r="AF908" i="1"/>
  <c r="AJ908" i="1"/>
  <c r="AK908" i="1"/>
  <c r="AS908" i="1"/>
  <c r="AY908" i="1"/>
  <c r="BE908" i="1"/>
  <c r="K909" i="1"/>
  <c r="AG909" i="1" s="1"/>
  <c r="M909" i="1"/>
  <c r="BA909" i="1"/>
  <c r="U909" i="1"/>
  <c r="W909" i="1"/>
  <c r="X909" i="1"/>
  <c r="Y909" i="1"/>
  <c r="Z909" i="1"/>
  <c r="AC909" i="1"/>
  <c r="AE909" i="1"/>
  <c r="AF909" i="1"/>
  <c r="AJ909" i="1"/>
  <c r="I909" i="1" s="1"/>
  <c r="AK909" i="1"/>
  <c r="AY909" i="1"/>
  <c r="BE909" i="1"/>
  <c r="K910" i="1"/>
  <c r="AG910" i="1" s="1"/>
  <c r="M910" i="1"/>
  <c r="BA910" i="1"/>
  <c r="U910" i="1"/>
  <c r="W910" i="1"/>
  <c r="X910" i="1"/>
  <c r="Y910" i="1"/>
  <c r="Z910" i="1"/>
  <c r="AC910" i="1"/>
  <c r="AE910" i="1"/>
  <c r="AF910" i="1"/>
  <c r="AJ910" i="1"/>
  <c r="BC910" i="1"/>
  <c r="AA910" i="1" s="1"/>
  <c r="AK910" i="1"/>
  <c r="AS910" i="1" s="1"/>
  <c r="AY910" i="1"/>
  <c r="BE910" i="1"/>
  <c r="K911" i="1"/>
  <c r="AG911" i="1"/>
  <c r="M911" i="1"/>
  <c r="BA911" i="1" s="1"/>
  <c r="U911" i="1"/>
  <c r="W911" i="1"/>
  <c r="X911" i="1"/>
  <c r="Y911" i="1"/>
  <c r="Z911" i="1"/>
  <c r="AC911" i="1"/>
  <c r="AE911" i="1"/>
  <c r="AF911" i="1"/>
  <c r="AJ911" i="1"/>
  <c r="AK911" i="1"/>
  <c r="BD911" i="1"/>
  <c r="AB911" i="1"/>
  <c r="AY911" i="1"/>
  <c r="BE911" i="1"/>
  <c r="K913" i="1"/>
  <c r="AG913" i="1" s="1"/>
  <c r="M913" i="1"/>
  <c r="BA913" i="1" s="1"/>
  <c r="U913" i="1"/>
  <c r="W913" i="1"/>
  <c r="X913" i="1"/>
  <c r="Y913" i="1"/>
  <c r="Z913" i="1"/>
  <c r="AC913" i="1"/>
  <c r="AE913" i="1"/>
  <c r="AF913" i="1"/>
  <c r="AJ913" i="1"/>
  <c r="AK913" i="1"/>
  <c r="AY913" i="1"/>
  <c r="BE913" i="1"/>
  <c r="K914" i="1"/>
  <c r="AG914" i="1" s="1"/>
  <c r="M914" i="1"/>
  <c r="BA914" i="1" s="1"/>
  <c r="U914" i="1"/>
  <c r="W914" i="1"/>
  <c r="X914" i="1"/>
  <c r="Y914" i="1"/>
  <c r="Z914" i="1"/>
  <c r="AC914" i="1"/>
  <c r="AE914" i="1"/>
  <c r="AF914" i="1"/>
  <c r="AJ914" i="1"/>
  <c r="AK914" i="1"/>
  <c r="J914" i="1"/>
  <c r="AY914" i="1"/>
  <c r="BE914" i="1"/>
  <c r="K915" i="1"/>
  <c r="M915" i="1"/>
  <c r="BA915" i="1" s="1"/>
  <c r="U915" i="1"/>
  <c r="W915" i="1"/>
  <c r="X915" i="1"/>
  <c r="Y915" i="1"/>
  <c r="Z915" i="1"/>
  <c r="AC915" i="1"/>
  <c r="AE915" i="1"/>
  <c r="AF915" i="1"/>
  <c r="AJ915" i="1"/>
  <c r="BC915" i="1"/>
  <c r="AA915" i="1"/>
  <c r="AK915" i="1"/>
  <c r="AY915" i="1"/>
  <c r="BE915" i="1"/>
  <c r="K916" i="1"/>
  <c r="AG916" i="1" s="1"/>
  <c r="M916" i="1"/>
  <c r="BA916" i="1"/>
  <c r="U916" i="1"/>
  <c r="W916" i="1"/>
  <c r="X916" i="1"/>
  <c r="Y916" i="1"/>
  <c r="Z916" i="1"/>
  <c r="AC916" i="1"/>
  <c r="AE916" i="1"/>
  <c r="AF916" i="1"/>
  <c r="AJ916" i="1"/>
  <c r="I916" i="1" s="1"/>
  <c r="AK916" i="1"/>
  <c r="AS916" i="1" s="1"/>
  <c r="AY916" i="1"/>
  <c r="BE916" i="1"/>
  <c r="K917" i="1"/>
  <c r="AG917" i="1"/>
  <c r="M917" i="1"/>
  <c r="BA917" i="1" s="1"/>
  <c r="U917" i="1"/>
  <c r="W917" i="1"/>
  <c r="X917" i="1"/>
  <c r="Y917" i="1"/>
  <c r="Z917" i="1"/>
  <c r="AC917" i="1"/>
  <c r="AE917" i="1"/>
  <c r="AF917" i="1"/>
  <c r="AJ917" i="1"/>
  <c r="AR917" i="1" s="1"/>
  <c r="AK917" i="1"/>
  <c r="AS917" i="1" s="1"/>
  <c r="AY917" i="1"/>
  <c r="BE917" i="1"/>
  <c r="K918" i="1"/>
  <c r="AG918" i="1"/>
  <c r="M918" i="1"/>
  <c r="BA918" i="1" s="1"/>
  <c r="U918" i="1"/>
  <c r="W918" i="1"/>
  <c r="X918" i="1"/>
  <c r="Y918" i="1"/>
  <c r="Z918" i="1"/>
  <c r="AC918" i="1"/>
  <c r="AE918" i="1"/>
  <c r="AF918" i="1"/>
  <c r="AJ918" i="1"/>
  <c r="AK918" i="1"/>
  <c r="J918" i="1"/>
  <c r="AY918" i="1"/>
  <c r="BE918" i="1"/>
  <c r="K919" i="1"/>
  <c r="AG919" i="1"/>
  <c r="M919" i="1"/>
  <c r="BA919" i="1"/>
  <c r="U919" i="1"/>
  <c r="W919" i="1"/>
  <c r="X919" i="1"/>
  <c r="Y919" i="1"/>
  <c r="Z919" i="1"/>
  <c r="AC919" i="1"/>
  <c r="AE919" i="1"/>
  <c r="AF919" i="1"/>
  <c r="AJ919" i="1"/>
  <c r="AK919" i="1"/>
  <c r="AS919" i="1"/>
  <c r="AY919" i="1"/>
  <c r="BE919" i="1"/>
  <c r="K920" i="1"/>
  <c r="AG920" i="1" s="1"/>
  <c r="M920" i="1"/>
  <c r="BA920" i="1" s="1"/>
  <c r="U920" i="1"/>
  <c r="W920" i="1"/>
  <c r="X920" i="1"/>
  <c r="Y920" i="1"/>
  <c r="Z920" i="1"/>
  <c r="AC920" i="1"/>
  <c r="AE920" i="1"/>
  <c r="AF920" i="1"/>
  <c r="AJ920" i="1"/>
  <c r="I920" i="1"/>
  <c r="AK920" i="1"/>
  <c r="AY920" i="1"/>
  <c r="BE920" i="1"/>
  <c r="K921" i="1"/>
  <c r="AG921" i="1"/>
  <c r="M921" i="1"/>
  <c r="BA921" i="1" s="1"/>
  <c r="U921" i="1"/>
  <c r="W921" i="1"/>
  <c r="X921" i="1"/>
  <c r="Y921" i="1"/>
  <c r="Z921" i="1"/>
  <c r="AC921" i="1"/>
  <c r="AE921" i="1"/>
  <c r="AF921" i="1"/>
  <c r="AJ921" i="1"/>
  <c r="BC921" i="1" s="1"/>
  <c r="AA921" i="1" s="1"/>
  <c r="AK921" i="1"/>
  <c r="BD921" i="1" s="1"/>
  <c r="AB921" i="1" s="1"/>
  <c r="AY921" i="1"/>
  <c r="BE921" i="1"/>
  <c r="K922" i="1"/>
  <c r="AG922" i="1"/>
  <c r="M922" i="1"/>
  <c r="BA922" i="1"/>
  <c r="U922" i="1"/>
  <c r="W922" i="1"/>
  <c r="X922" i="1"/>
  <c r="Y922" i="1"/>
  <c r="Z922" i="1"/>
  <c r="AC922" i="1"/>
  <c r="AE922" i="1"/>
  <c r="AF922" i="1"/>
  <c r="AJ922" i="1"/>
  <c r="I922" i="1"/>
  <c r="AK922" i="1"/>
  <c r="BD922" i="1" s="1"/>
  <c r="AB922" i="1" s="1"/>
  <c r="AY922" i="1"/>
  <c r="BE922" i="1"/>
  <c r="K923" i="1"/>
  <c r="AG923" i="1" s="1"/>
  <c r="M923" i="1"/>
  <c r="BA923" i="1" s="1"/>
  <c r="U923" i="1"/>
  <c r="W923" i="1"/>
  <c r="X923" i="1"/>
  <c r="Y923" i="1"/>
  <c r="Z923" i="1"/>
  <c r="AC923" i="1"/>
  <c r="AE923" i="1"/>
  <c r="AF923" i="1"/>
  <c r="AJ923" i="1"/>
  <c r="I923" i="1"/>
  <c r="AK923" i="1"/>
  <c r="AS923" i="1" s="1"/>
  <c r="AY923" i="1"/>
  <c r="BE923" i="1"/>
  <c r="K924" i="1"/>
  <c r="AG924" i="1" s="1"/>
  <c r="M924" i="1"/>
  <c r="BA924" i="1"/>
  <c r="U924" i="1"/>
  <c r="W924" i="1"/>
  <c r="X924" i="1"/>
  <c r="Y924" i="1"/>
  <c r="Z924" i="1"/>
  <c r="AC924" i="1"/>
  <c r="AE924" i="1"/>
  <c r="AF924" i="1"/>
  <c r="AJ924" i="1"/>
  <c r="AR924" i="1"/>
  <c r="AK924" i="1"/>
  <c r="AS924" i="1" s="1"/>
  <c r="AY924" i="1"/>
  <c r="BE924" i="1"/>
  <c r="K925" i="1"/>
  <c r="AG925" i="1"/>
  <c r="M925" i="1"/>
  <c r="BA925" i="1" s="1"/>
  <c r="U925" i="1"/>
  <c r="W925" i="1"/>
  <c r="X925" i="1"/>
  <c r="Y925" i="1"/>
  <c r="Z925" i="1"/>
  <c r="AC925" i="1"/>
  <c r="AE925" i="1"/>
  <c r="AF925" i="1"/>
  <c r="AJ925" i="1"/>
  <c r="I925" i="1" s="1"/>
  <c r="AK925" i="1"/>
  <c r="AY925" i="1"/>
  <c r="BE925" i="1"/>
  <c r="K926" i="1"/>
  <c r="AG926" i="1" s="1"/>
  <c r="M926" i="1"/>
  <c r="BA926" i="1"/>
  <c r="U926" i="1"/>
  <c r="W926" i="1"/>
  <c r="X926" i="1"/>
  <c r="Y926" i="1"/>
  <c r="Z926" i="1"/>
  <c r="AC926" i="1"/>
  <c r="AE926" i="1"/>
  <c r="AF926" i="1"/>
  <c r="AJ926" i="1"/>
  <c r="BC926" i="1"/>
  <c r="AA926" i="1" s="1"/>
  <c r="AK926" i="1"/>
  <c r="J926" i="1"/>
  <c r="AY926" i="1"/>
  <c r="BE926" i="1"/>
  <c r="K927" i="1"/>
  <c r="AG927" i="1" s="1"/>
  <c r="M927" i="1"/>
  <c r="BA927" i="1" s="1"/>
  <c r="U927" i="1"/>
  <c r="W927" i="1"/>
  <c r="X927" i="1"/>
  <c r="Y927" i="1"/>
  <c r="Z927" i="1"/>
  <c r="AC927" i="1"/>
  <c r="AE927" i="1"/>
  <c r="AF927" i="1"/>
  <c r="AJ927" i="1"/>
  <c r="BC927" i="1"/>
  <c r="AA927" i="1"/>
  <c r="AK927" i="1"/>
  <c r="AY927" i="1"/>
  <c r="BE927" i="1"/>
  <c r="K928" i="1"/>
  <c r="AG928" i="1" s="1"/>
  <c r="M928" i="1"/>
  <c r="BA928" i="1"/>
  <c r="U928" i="1"/>
  <c r="W928" i="1"/>
  <c r="X928" i="1"/>
  <c r="Y928" i="1"/>
  <c r="Z928" i="1"/>
  <c r="AC928" i="1"/>
  <c r="AE928" i="1"/>
  <c r="AF928" i="1"/>
  <c r="AJ928" i="1"/>
  <c r="I928" i="1" s="1"/>
  <c r="AK928" i="1"/>
  <c r="BD928" i="1" s="1"/>
  <c r="AB928" i="1" s="1"/>
  <c r="AY928" i="1"/>
  <c r="BE928" i="1"/>
  <c r="K929" i="1"/>
  <c r="AG929" i="1"/>
  <c r="M929" i="1"/>
  <c r="BA929" i="1"/>
  <c r="U929" i="1"/>
  <c r="W929" i="1"/>
  <c r="X929" i="1"/>
  <c r="Y929" i="1"/>
  <c r="Z929" i="1"/>
  <c r="AC929" i="1"/>
  <c r="AE929" i="1"/>
  <c r="AF929" i="1"/>
  <c r="AJ929" i="1"/>
  <c r="I929" i="1"/>
  <c r="AK929" i="1"/>
  <c r="AS929" i="1" s="1"/>
  <c r="AY929" i="1"/>
  <c r="BE929" i="1"/>
  <c r="K930" i="1"/>
  <c r="AG930" i="1"/>
  <c r="M930" i="1"/>
  <c r="BA930" i="1"/>
  <c r="U930" i="1"/>
  <c r="W930" i="1"/>
  <c r="X930" i="1"/>
  <c r="Y930" i="1"/>
  <c r="Z930" i="1"/>
  <c r="AC930" i="1"/>
  <c r="AE930" i="1"/>
  <c r="AF930" i="1"/>
  <c r="AJ930" i="1"/>
  <c r="AR930" i="1"/>
  <c r="AK930" i="1"/>
  <c r="J930" i="1" s="1"/>
  <c r="AY930" i="1"/>
  <c r="BE930" i="1"/>
  <c r="K931" i="1"/>
  <c r="AG931" i="1"/>
  <c r="M931" i="1"/>
  <c r="BA931" i="1" s="1"/>
  <c r="U931" i="1"/>
  <c r="W931" i="1"/>
  <c r="X931" i="1"/>
  <c r="Y931" i="1"/>
  <c r="Z931" i="1"/>
  <c r="AC931" i="1"/>
  <c r="AE931" i="1"/>
  <c r="AF931" i="1"/>
  <c r="AJ931" i="1"/>
  <c r="AK931" i="1"/>
  <c r="AS931" i="1" s="1"/>
  <c r="AY931" i="1"/>
  <c r="BE931" i="1"/>
  <c r="K932" i="1"/>
  <c r="AG932" i="1" s="1"/>
  <c r="M932" i="1"/>
  <c r="BA932" i="1"/>
  <c r="U932" i="1"/>
  <c r="W932" i="1"/>
  <c r="X932" i="1"/>
  <c r="Y932" i="1"/>
  <c r="Z932" i="1"/>
  <c r="AC932" i="1"/>
  <c r="AE932" i="1"/>
  <c r="AF932" i="1"/>
  <c r="AJ932" i="1"/>
  <c r="AR932" i="1" s="1"/>
  <c r="AK932" i="1"/>
  <c r="J932" i="1" s="1"/>
  <c r="AY932" i="1"/>
  <c r="BE932" i="1"/>
  <c r="K933" i="1"/>
  <c r="AG933" i="1"/>
  <c r="M933" i="1"/>
  <c r="BA933" i="1" s="1"/>
  <c r="U933" i="1"/>
  <c r="W933" i="1"/>
  <c r="X933" i="1"/>
  <c r="Y933" i="1"/>
  <c r="Z933" i="1"/>
  <c r="AC933" i="1"/>
  <c r="AE933" i="1"/>
  <c r="AF933" i="1"/>
  <c r="AJ933" i="1"/>
  <c r="AK933" i="1"/>
  <c r="BD933" i="1"/>
  <c r="AB933" i="1" s="1"/>
  <c r="AY933" i="1"/>
  <c r="BE933" i="1"/>
  <c r="K934" i="1"/>
  <c r="AG934" i="1"/>
  <c r="M934" i="1"/>
  <c r="BA934" i="1" s="1"/>
  <c r="U934" i="1"/>
  <c r="W934" i="1"/>
  <c r="X934" i="1"/>
  <c r="Y934" i="1"/>
  <c r="Z934" i="1"/>
  <c r="AC934" i="1"/>
  <c r="AE934" i="1"/>
  <c r="AF934" i="1"/>
  <c r="AJ934" i="1"/>
  <c r="AK934" i="1"/>
  <c r="J934" i="1" s="1"/>
  <c r="AY934" i="1"/>
  <c r="BE934" i="1"/>
  <c r="K935" i="1"/>
  <c r="AG935" i="1"/>
  <c r="M935" i="1"/>
  <c r="BA935" i="1"/>
  <c r="U935" i="1"/>
  <c r="W935" i="1"/>
  <c r="X935" i="1"/>
  <c r="Y935" i="1"/>
  <c r="Z935" i="1"/>
  <c r="AC935" i="1"/>
  <c r="AE935" i="1"/>
  <c r="AF935" i="1"/>
  <c r="AJ935" i="1"/>
  <c r="BC935" i="1" s="1"/>
  <c r="AA935" i="1" s="1"/>
  <c r="AK935" i="1"/>
  <c r="BD935" i="1"/>
  <c r="AB935" i="1"/>
  <c r="AY935" i="1"/>
  <c r="BE935" i="1"/>
  <c r="K936" i="1"/>
  <c r="AG936" i="1"/>
  <c r="M936" i="1"/>
  <c r="BA936" i="1" s="1"/>
  <c r="U936" i="1"/>
  <c r="W936" i="1"/>
  <c r="X936" i="1"/>
  <c r="Y936" i="1"/>
  <c r="Z936" i="1"/>
  <c r="AC936" i="1"/>
  <c r="AE936" i="1"/>
  <c r="AF936" i="1"/>
  <c r="AJ936" i="1"/>
  <c r="AK936" i="1"/>
  <c r="AS936" i="1" s="1"/>
  <c r="AY936" i="1"/>
  <c r="BE936" i="1"/>
  <c r="K937" i="1"/>
  <c r="AG937" i="1"/>
  <c r="M937" i="1"/>
  <c r="BA937" i="1" s="1"/>
  <c r="U937" i="1"/>
  <c r="W937" i="1"/>
  <c r="X937" i="1"/>
  <c r="Y937" i="1"/>
  <c r="Z937" i="1"/>
  <c r="AC937" i="1"/>
  <c r="AE937" i="1"/>
  <c r="AF937" i="1"/>
  <c r="AJ937" i="1"/>
  <c r="I937" i="1" s="1"/>
  <c r="AK937" i="1"/>
  <c r="AS937" i="1" s="1"/>
  <c r="AY937" i="1"/>
  <c r="BE937" i="1"/>
  <c r="K938" i="1"/>
  <c r="AG938" i="1"/>
  <c r="M938" i="1"/>
  <c r="U938" i="1"/>
  <c r="W938" i="1"/>
  <c r="X938" i="1"/>
  <c r="Y938" i="1"/>
  <c r="Z938" i="1"/>
  <c r="AC938" i="1"/>
  <c r="AE938" i="1"/>
  <c r="AF938" i="1"/>
  <c r="AJ938" i="1"/>
  <c r="BC938" i="1"/>
  <c r="AA938" i="1" s="1"/>
  <c r="AK938" i="1"/>
  <c r="AY938" i="1"/>
  <c r="BE938" i="1"/>
  <c r="K939" i="1"/>
  <c r="AG939" i="1"/>
  <c r="M939" i="1"/>
  <c r="BA939" i="1"/>
  <c r="U939" i="1"/>
  <c r="W939" i="1"/>
  <c r="X939" i="1"/>
  <c r="Y939" i="1"/>
  <c r="Z939" i="1"/>
  <c r="AC939" i="1"/>
  <c r="AE939" i="1"/>
  <c r="AF939" i="1"/>
  <c r="AJ939" i="1"/>
  <c r="BC939" i="1" s="1"/>
  <c r="AA939" i="1" s="1"/>
  <c r="AK939" i="1"/>
  <c r="AY939" i="1"/>
  <c r="BE939" i="1"/>
  <c r="K940" i="1"/>
  <c r="AG940" i="1"/>
  <c r="M940" i="1"/>
  <c r="BA940" i="1" s="1"/>
  <c r="U940" i="1"/>
  <c r="W940" i="1"/>
  <c r="X940" i="1"/>
  <c r="Y940" i="1"/>
  <c r="Z940" i="1"/>
  <c r="AC940" i="1"/>
  <c r="AE940" i="1"/>
  <c r="AF940" i="1"/>
  <c r="AJ940" i="1"/>
  <c r="AK940" i="1"/>
  <c r="AY940" i="1"/>
  <c r="BE940" i="1"/>
  <c r="K941" i="1"/>
  <c r="AG941" i="1"/>
  <c r="M941" i="1"/>
  <c r="BA941" i="1" s="1"/>
  <c r="U941" i="1"/>
  <c r="W941" i="1"/>
  <c r="X941" i="1"/>
  <c r="Y941" i="1"/>
  <c r="Z941" i="1"/>
  <c r="AC941" i="1"/>
  <c r="AE941" i="1"/>
  <c r="AF941" i="1"/>
  <c r="AJ941" i="1"/>
  <c r="AR941" i="1" s="1"/>
  <c r="AK941" i="1"/>
  <c r="AY941" i="1"/>
  <c r="BE941" i="1"/>
  <c r="K942" i="1"/>
  <c r="AG942" i="1" s="1"/>
  <c r="M942" i="1"/>
  <c r="BA942" i="1"/>
  <c r="U942" i="1"/>
  <c r="W942" i="1"/>
  <c r="X942" i="1"/>
  <c r="Y942" i="1"/>
  <c r="Z942" i="1"/>
  <c r="AC942" i="1"/>
  <c r="AE942" i="1"/>
  <c r="AF942" i="1"/>
  <c r="AJ942" i="1"/>
  <c r="BC942" i="1" s="1"/>
  <c r="AA942" i="1" s="1"/>
  <c r="AK942" i="1"/>
  <c r="BD942" i="1"/>
  <c r="AB942" i="1" s="1"/>
  <c r="AY942" i="1"/>
  <c r="BE942" i="1"/>
  <c r="K943" i="1"/>
  <c r="AG943" i="1"/>
  <c r="M943" i="1"/>
  <c r="BA943" i="1" s="1"/>
  <c r="U943" i="1"/>
  <c r="W943" i="1"/>
  <c r="X943" i="1"/>
  <c r="Y943" i="1"/>
  <c r="Z943" i="1"/>
  <c r="AC943" i="1"/>
  <c r="AE943" i="1"/>
  <c r="AF943" i="1"/>
  <c r="AJ943" i="1"/>
  <c r="BC943" i="1" s="1"/>
  <c r="AA943" i="1" s="1"/>
  <c r="AK943" i="1"/>
  <c r="AY943" i="1"/>
  <c r="BE943" i="1"/>
  <c r="K944" i="1"/>
  <c r="AG944" i="1" s="1"/>
  <c r="M944" i="1"/>
  <c r="BA944" i="1" s="1"/>
  <c r="U944" i="1"/>
  <c r="W944" i="1"/>
  <c r="X944" i="1"/>
  <c r="Y944" i="1"/>
  <c r="Z944" i="1"/>
  <c r="AC944" i="1"/>
  <c r="AE944" i="1"/>
  <c r="AF944" i="1"/>
  <c r="AJ944" i="1"/>
  <c r="AK944" i="1"/>
  <c r="AY944" i="1"/>
  <c r="BE944" i="1"/>
  <c r="K945" i="1"/>
  <c r="AG945" i="1" s="1"/>
  <c r="M945" i="1"/>
  <c r="BA945" i="1" s="1"/>
  <c r="U945" i="1"/>
  <c r="W945" i="1"/>
  <c r="X945" i="1"/>
  <c r="Y945" i="1"/>
  <c r="Z945" i="1"/>
  <c r="AC945" i="1"/>
  <c r="AE945" i="1"/>
  <c r="AF945" i="1"/>
  <c r="AJ945" i="1"/>
  <c r="AK945" i="1"/>
  <c r="BD945" i="1"/>
  <c r="AB945" i="1"/>
  <c r="AY945" i="1"/>
  <c r="BE945" i="1"/>
  <c r="K946" i="1"/>
  <c r="AG946" i="1" s="1"/>
  <c r="M946" i="1"/>
  <c r="BA946" i="1" s="1"/>
  <c r="U946" i="1"/>
  <c r="W946" i="1"/>
  <c r="X946" i="1"/>
  <c r="Y946" i="1"/>
  <c r="Z946" i="1"/>
  <c r="AC946" i="1"/>
  <c r="AE946" i="1"/>
  <c r="AF946" i="1"/>
  <c r="AJ946" i="1"/>
  <c r="BC946" i="1"/>
  <c r="AA946" i="1"/>
  <c r="AK946" i="1"/>
  <c r="J946" i="1"/>
  <c r="AY946" i="1"/>
  <c r="BE946" i="1"/>
  <c r="K947" i="1"/>
  <c r="AG947" i="1"/>
  <c r="M947" i="1"/>
  <c r="BA947" i="1"/>
  <c r="U947" i="1"/>
  <c r="W947" i="1"/>
  <c r="X947" i="1"/>
  <c r="Y947" i="1"/>
  <c r="Z947" i="1"/>
  <c r="AC947" i="1"/>
  <c r="AE947" i="1"/>
  <c r="AF947" i="1"/>
  <c r="AJ947" i="1"/>
  <c r="AK947" i="1"/>
  <c r="BD947" i="1" s="1"/>
  <c r="AB947" i="1" s="1"/>
  <c r="AY947" i="1"/>
  <c r="BE947" i="1"/>
  <c r="K948" i="1"/>
  <c r="AG948" i="1"/>
  <c r="M948" i="1"/>
  <c r="BA948" i="1"/>
  <c r="U948" i="1"/>
  <c r="W948" i="1"/>
  <c r="X948" i="1"/>
  <c r="Y948" i="1"/>
  <c r="Z948" i="1"/>
  <c r="AC948" i="1"/>
  <c r="AE948" i="1"/>
  <c r="AF948" i="1"/>
  <c r="AJ948" i="1"/>
  <c r="AR948" i="1"/>
  <c r="AK948" i="1"/>
  <c r="J948" i="1"/>
  <c r="AY948" i="1"/>
  <c r="BE948" i="1"/>
  <c r="K949" i="1"/>
  <c r="AG949" i="1"/>
  <c r="M949" i="1"/>
  <c r="BA949" i="1"/>
  <c r="U949" i="1"/>
  <c r="W949" i="1"/>
  <c r="X949" i="1"/>
  <c r="Y949" i="1"/>
  <c r="Z949" i="1"/>
  <c r="AC949" i="1"/>
  <c r="AE949" i="1"/>
  <c r="AF949" i="1"/>
  <c r="AJ949" i="1"/>
  <c r="I949" i="1"/>
  <c r="AK949" i="1"/>
  <c r="J949" i="1"/>
  <c r="AY949" i="1"/>
  <c r="BE949" i="1"/>
  <c r="K950" i="1"/>
  <c r="AG950" i="1"/>
  <c r="M950" i="1"/>
  <c r="BA950" i="1"/>
  <c r="U950" i="1"/>
  <c r="W950" i="1"/>
  <c r="X950" i="1"/>
  <c r="Y950" i="1"/>
  <c r="Z950" i="1"/>
  <c r="AC950" i="1"/>
  <c r="AE950" i="1"/>
  <c r="AF950" i="1"/>
  <c r="AJ950" i="1"/>
  <c r="AR950" i="1"/>
  <c r="AK950" i="1"/>
  <c r="AY950" i="1"/>
  <c r="BE950" i="1"/>
  <c r="K951" i="1"/>
  <c r="AG951" i="1" s="1"/>
  <c r="M951" i="1"/>
  <c r="BA951" i="1" s="1"/>
  <c r="U951" i="1"/>
  <c r="W951" i="1"/>
  <c r="X951" i="1"/>
  <c r="Y951" i="1"/>
  <c r="Z951" i="1"/>
  <c r="AC951" i="1"/>
  <c r="AE951" i="1"/>
  <c r="AF951" i="1"/>
  <c r="AJ951" i="1"/>
  <c r="AK951" i="1"/>
  <c r="BD951" i="1"/>
  <c r="AB951" i="1" s="1"/>
  <c r="AY951" i="1"/>
  <c r="BE951" i="1"/>
  <c r="K952" i="1"/>
  <c r="AG952" i="1"/>
  <c r="M952" i="1"/>
  <c r="BA952" i="1" s="1"/>
  <c r="U952" i="1"/>
  <c r="W952" i="1"/>
  <c r="X952" i="1"/>
  <c r="Y952" i="1"/>
  <c r="Z952" i="1"/>
  <c r="AC952" i="1"/>
  <c r="AE952" i="1"/>
  <c r="AF952" i="1"/>
  <c r="AJ952" i="1"/>
  <c r="AK952" i="1"/>
  <c r="J952" i="1" s="1"/>
  <c r="AY952" i="1"/>
  <c r="BE952" i="1"/>
  <c r="K953" i="1"/>
  <c r="AG953" i="1"/>
  <c r="M953" i="1"/>
  <c r="BA953" i="1"/>
  <c r="U953" i="1"/>
  <c r="W953" i="1"/>
  <c r="X953" i="1"/>
  <c r="Y953" i="1"/>
  <c r="Z953" i="1"/>
  <c r="AC953" i="1"/>
  <c r="AE953" i="1"/>
  <c r="AF953" i="1"/>
  <c r="AJ953" i="1"/>
  <c r="AR953" i="1" s="1"/>
  <c r="AK953" i="1"/>
  <c r="AY953" i="1"/>
  <c r="BE953" i="1"/>
  <c r="K954" i="1"/>
  <c r="M954" i="1"/>
  <c r="BA954" i="1"/>
  <c r="U954" i="1"/>
  <c r="W954" i="1"/>
  <c r="X954" i="1"/>
  <c r="Y954" i="1"/>
  <c r="Z954" i="1"/>
  <c r="AC954" i="1"/>
  <c r="AE954" i="1"/>
  <c r="AF954" i="1"/>
  <c r="AJ954" i="1"/>
  <c r="I954" i="1" s="1"/>
  <c r="AK954" i="1"/>
  <c r="AY954" i="1"/>
  <c r="BE954" i="1"/>
  <c r="K955" i="1"/>
  <c r="AG955" i="1" s="1"/>
  <c r="M955" i="1"/>
  <c r="BA955" i="1" s="1"/>
  <c r="U955" i="1"/>
  <c r="W955" i="1"/>
  <c r="X955" i="1"/>
  <c r="Y955" i="1"/>
  <c r="Z955" i="1"/>
  <c r="AC955" i="1"/>
  <c r="AE955" i="1"/>
  <c r="AF955" i="1"/>
  <c r="AJ955" i="1"/>
  <c r="AK955" i="1"/>
  <c r="AY955" i="1"/>
  <c r="BE955" i="1"/>
  <c r="K956" i="1"/>
  <c r="AG956" i="1" s="1"/>
  <c r="M956" i="1"/>
  <c r="BA956" i="1" s="1"/>
  <c r="U956" i="1"/>
  <c r="W956" i="1"/>
  <c r="X956" i="1"/>
  <c r="Y956" i="1"/>
  <c r="Z956" i="1"/>
  <c r="AC956" i="1"/>
  <c r="AE956" i="1"/>
  <c r="AF956" i="1"/>
  <c r="AJ956" i="1"/>
  <c r="I956" i="1" s="1"/>
  <c r="AK956" i="1"/>
  <c r="AY956" i="1"/>
  <c r="BE956" i="1"/>
  <c r="K957" i="1"/>
  <c r="AG957" i="1"/>
  <c r="M957" i="1"/>
  <c r="BA957" i="1"/>
  <c r="U957" i="1"/>
  <c r="W957" i="1"/>
  <c r="X957" i="1"/>
  <c r="Y957" i="1"/>
  <c r="Z957" i="1"/>
  <c r="AC957" i="1"/>
  <c r="AE957" i="1"/>
  <c r="AF957" i="1"/>
  <c r="AJ957" i="1"/>
  <c r="AR957" i="1"/>
  <c r="AK957" i="1"/>
  <c r="BD957" i="1"/>
  <c r="AB957" i="1" s="1"/>
  <c r="AY957" i="1"/>
  <c r="BE957" i="1"/>
  <c r="K958" i="1"/>
  <c r="AG958" i="1"/>
  <c r="M958" i="1"/>
  <c r="BA958" i="1" s="1"/>
  <c r="U958" i="1"/>
  <c r="W958" i="1"/>
  <c r="X958" i="1"/>
  <c r="Y958" i="1"/>
  <c r="Z958" i="1"/>
  <c r="AC958" i="1"/>
  <c r="AE958" i="1"/>
  <c r="AF958" i="1"/>
  <c r="AJ958" i="1"/>
  <c r="AK958" i="1"/>
  <c r="J958" i="1"/>
  <c r="AY958" i="1"/>
  <c r="BE958" i="1"/>
  <c r="K959" i="1"/>
  <c r="AG959" i="1"/>
  <c r="M959" i="1"/>
  <c r="BA959" i="1"/>
  <c r="U959" i="1"/>
  <c r="W959" i="1"/>
  <c r="X959" i="1"/>
  <c r="Y959" i="1"/>
  <c r="Z959" i="1"/>
  <c r="AC959" i="1"/>
  <c r="AE959" i="1"/>
  <c r="AF959" i="1"/>
  <c r="AJ959" i="1"/>
  <c r="AR959" i="1"/>
  <c r="AK959" i="1"/>
  <c r="AY959" i="1"/>
  <c r="BE959" i="1"/>
  <c r="K960" i="1"/>
  <c r="AG960" i="1" s="1"/>
  <c r="M960" i="1"/>
  <c r="BA960" i="1" s="1"/>
  <c r="U960" i="1"/>
  <c r="W960" i="1"/>
  <c r="X960" i="1"/>
  <c r="Y960" i="1"/>
  <c r="Z960" i="1"/>
  <c r="AC960" i="1"/>
  <c r="AE960" i="1"/>
  <c r="AF960" i="1"/>
  <c r="AJ960" i="1"/>
  <c r="AK960" i="1"/>
  <c r="J960" i="1" s="1"/>
  <c r="AY960" i="1"/>
  <c r="BE960" i="1"/>
  <c r="K961" i="1"/>
  <c r="AG961" i="1"/>
  <c r="M961" i="1"/>
  <c r="BA961" i="1"/>
  <c r="U961" i="1"/>
  <c r="W961" i="1"/>
  <c r="X961" i="1"/>
  <c r="Y961" i="1"/>
  <c r="Z961" i="1"/>
  <c r="AC961" i="1"/>
  <c r="AE961" i="1"/>
  <c r="AF961" i="1"/>
  <c r="AJ961" i="1"/>
  <c r="AK961" i="1"/>
  <c r="AY961" i="1"/>
  <c r="BE961" i="1"/>
  <c r="K962" i="1"/>
  <c r="AG962" i="1"/>
  <c r="M962" i="1"/>
  <c r="BA962" i="1"/>
  <c r="U962" i="1"/>
  <c r="W962" i="1"/>
  <c r="X962" i="1"/>
  <c r="Y962" i="1"/>
  <c r="Z962" i="1"/>
  <c r="AC962" i="1"/>
  <c r="AE962" i="1"/>
  <c r="AF962" i="1"/>
  <c r="AJ962" i="1"/>
  <c r="AK962" i="1"/>
  <c r="J962" i="1" s="1"/>
  <c r="AY962" i="1"/>
  <c r="BE962" i="1"/>
  <c r="K963" i="1"/>
  <c r="AG963" i="1" s="1"/>
  <c r="M963" i="1"/>
  <c r="BA963" i="1" s="1"/>
  <c r="U963" i="1"/>
  <c r="W963" i="1"/>
  <c r="X963" i="1"/>
  <c r="Y963" i="1"/>
  <c r="Z963" i="1"/>
  <c r="AC963" i="1"/>
  <c r="AE963" i="1"/>
  <c r="AF963" i="1"/>
  <c r="AJ963" i="1"/>
  <c r="AR963" i="1" s="1"/>
  <c r="AK963" i="1"/>
  <c r="AY963" i="1"/>
  <c r="BE963" i="1"/>
  <c r="K964" i="1"/>
  <c r="AG964" i="1"/>
  <c r="M964" i="1"/>
  <c r="BA964" i="1" s="1"/>
  <c r="U964" i="1"/>
  <c r="W964" i="1"/>
  <c r="X964" i="1"/>
  <c r="Y964" i="1"/>
  <c r="Z964" i="1"/>
  <c r="AC964" i="1"/>
  <c r="AE964" i="1"/>
  <c r="AF964" i="1"/>
  <c r="AJ964" i="1"/>
  <c r="BC964" i="1"/>
  <c r="AA964" i="1"/>
  <c r="AK964" i="1"/>
  <c r="AY964" i="1"/>
  <c r="BE964" i="1"/>
  <c r="K965" i="1"/>
  <c r="AG965" i="1"/>
  <c r="M965" i="1"/>
  <c r="BA965" i="1"/>
  <c r="U965" i="1"/>
  <c r="W965" i="1"/>
  <c r="X965" i="1"/>
  <c r="Y965" i="1"/>
  <c r="Z965" i="1"/>
  <c r="AC965" i="1"/>
  <c r="AE965" i="1"/>
  <c r="AF965" i="1"/>
  <c r="AJ965" i="1"/>
  <c r="I965" i="1"/>
  <c r="AK965" i="1"/>
  <c r="BD965" i="1"/>
  <c r="AB965" i="1" s="1"/>
  <c r="AY965" i="1"/>
  <c r="BE965" i="1"/>
  <c r="K966" i="1"/>
  <c r="AG966" i="1"/>
  <c r="M966" i="1"/>
  <c r="BA966" i="1" s="1"/>
  <c r="U966" i="1"/>
  <c r="W966" i="1"/>
  <c r="X966" i="1"/>
  <c r="Y966" i="1"/>
  <c r="Z966" i="1"/>
  <c r="AC966" i="1"/>
  <c r="AE966" i="1"/>
  <c r="AF966" i="1"/>
  <c r="AJ966" i="1"/>
  <c r="I966" i="1" s="1"/>
  <c r="AK966" i="1"/>
  <c r="J966" i="1" s="1"/>
  <c r="AY966" i="1"/>
  <c r="BE966" i="1"/>
  <c r="K967" i="1"/>
  <c r="AG967" i="1" s="1"/>
  <c r="M967" i="1"/>
  <c r="BA967" i="1" s="1"/>
  <c r="U967" i="1"/>
  <c r="W967" i="1"/>
  <c r="X967" i="1"/>
  <c r="Y967" i="1"/>
  <c r="Z967" i="1"/>
  <c r="AC967" i="1"/>
  <c r="AE967" i="1"/>
  <c r="AF967" i="1"/>
  <c r="AJ967" i="1"/>
  <c r="AK967" i="1"/>
  <c r="AY967" i="1"/>
  <c r="BE967" i="1"/>
  <c r="K968" i="1"/>
  <c r="AG968" i="1" s="1"/>
  <c r="M968" i="1"/>
  <c r="BA968" i="1" s="1"/>
  <c r="U968" i="1"/>
  <c r="W968" i="1"/>
  <c r="X968" i="1"/>
  <c r="Y968" i="1"/>
  <c r="Z968" i="1"/>
  <c r="AC968" i="1"/>
  <c r="AE968" i="1"/>
  <c r="AF968" i="1"/>
  <c r="AJ968" i="1"/>
  <c r="AR968" i="1" s="1"/>
  <c r="AK968" i="1"/>
  <c r="J968" i="1" s="1"/>
  <c r="AY968" i="1"/>
  <c r="BE968" i="1"/>
  <c r="K969" i="1"/>
  <c r="AG969" i="1" s="1"/>
  <c r="M969" i="1"/>
  <c r="BA969" i="1" s="1"/>
  <c r="U969" i="1"/>
  <c r="W969" i="1"/>
  <c r="X969" i="1"/>
  <c r="Y969" i="1"/>
  <c r="Z969" i="1"/>
  <c r="AC969" i="1"/>
  <c r="AE969" i="1"/>
  <c r="AF969" i="1"/>
  <c r="AJ969" i="1"/>
  <c r="I969" i="1"/>
  <c r="AK969" i="1"/>
  <c r="AY969" i="1"/>
  <c r="BE969" i="1"/>
  <c r="K970" i="1"/>
  <c r="AG970" i="1"/>
  <c r="M970" i="1"/>
  <c r="BA970" i="1"/>
  <c r="U970" i="1"/>
  <c r="W970" i="1"/>
  <c r="X970" i="1"/>
  <c r="Y970" i="1"/>
  <c r="Z970" i="1"/>
  <c r="AC970" i="1"/>
  <c r="AE970" i="1"/>
  <c r="AF970" i="1"/>
  <c r="AJ970" i="1"/>
  <c r="AK970" i="1"/>
  <c r="AY970" i="1"/>
  <c r="BE970" i="1"/>
  <c r="K971" i="1"/>
  <c r="AG971" i="1"/>
  <c r="M971" i="1"/>
  <c r="BA971" i="1"/>
  <c r="U971" i="1"/>
  <c r="W971" i="1"/>
  <c r="X971" i="1"/>
  <c r="Y971" i="1"/>
  <c r="Z971" i="1"/>
  <c r="AC971" i="1"/>
  <c r="AE971" i="1"/>
  <c r="AF971" i="1"/>
  <c r="AJ971" i="1"/>
  <c r="I971" i="1"/>
  <c r="AK971" i="1"/>
  <c r="J971" i="1"/>
  <c r="AY971" i="1"/>
  <c r="BE971" i="1"/>
  <c r="K972" i="1"/>
  <c r="AG972" i="1"/>
  <c r="M972" i="1"/>
  <c r="BA972" i="1"/>
  <c r="U972" i="1"/>
  <c r="W972" i="1"/>
  <c r="X972" i="1"/>
  <c r="Y972" i="1"/>
  <c r="Z972" i="1"/>
  <c r="AC972" i="1"/>
  <c r="AE972" i="1"/>
  <c r="AF972" i="1"/>
  <c r="AJ972" i="1"/>
  <c r="AR972" i="1"/>
  <c r="AK972" i="1"/>
  <c r="BD972" i="1"/>
  <c r="AB972" i="1" s="1"/>
  <c r="AY972" i="1"/>
  <c r="BE972" i="1"/>
  <c r="K973" i="1"/>
  <c r="AG973" i="1" s="1"/>
  <c r="M973" i="1"/>
  <c r="BA973" i="1" s="1"/>
  <c r="U973" i="1"/>
  <c r="W973" i="1"/>
  <c r="X973" i="1"/>
  <c r="Y973" i="1"/>
  <c r="Z973" i="1"/>
  <c r="AC973" i="1"/>
  <c r="AE973" i="1"/>
  <c r="AF973" i="1"/>
  <c r="AJ973" i="1"/>
  <c r="BC973" i="1" s="1"/>
  <c r="AA973" i="1" s="1"/>
  <c r="AK973" i="1"/>
  <c r="BD973" i="1"/>
  <c r="AB973" i="1" s="1"/>
  <c r="AY973" i="1"/>
  <c r="BE973" i="1"/>
  <c r="K974" i="1"/>
  <c r="AG974" i="1"/>
  <c r="M974" i="1"/>
  <c r="BA974" i="1" s="1"/>
  <c r="U974" i="1"/>
  <c r="W974" i="1"/>
  <c r="X974" i="1"/>
  <c r="Y974" i="1"/>
  <c r="Z974" i="1"/>
  <c r="AC974" i="1"/>
  <c r="AE974" i="1"/>
  <c r="AF974" i="1"/>
  <c r="AJ974" i="1"/>
  <c r="AR974" i="1" s="1"/>
  <c r="AK974" i="1"/>
  <c r="J974" i="1" s="1"/>
  <c r="AY974" i="1"/>
  <c r="BE974" i="1"/>
  <c r="K975" i="1"/>
  <c r="AG975" i="1" s="1"/>
  <c r="M975" i="1"/>
  <c r="BA975" i="1" s="1"/>
  <c r="U975" i="1"/>
  <c r="W975" i="1"/>
  <c r="X975" i="1"/>
  <c r="Y975" i="1"/>
  <c r="Z975" i="1"/>
  <c r="AC975" i="1"/>
  <c r="AE975" i="1"/>
  <c r="AF975" i="1"/>
  <c r="AJ975" i="1"/>
  <c r="AR975" i="1" s="1"/>
  <c r="AK975" i="1"/>
  <c r="BD975" i="1"/>
  <c r="AB975" i="1"/>
  <c r="AY975" i="1"/>
  <c r="BE975" i="1"/>
  <c r="K976" i="1"/>
  <c r="AG976" i="1"/>
  <c r="M976" i="1"/>
  <c r="BA976" i="1" s="1"/>
  <c r="U976" i="1"/>
  <c r="W976" i="1"/>
  <c r="X976" i="1"/>
  <c r="Y976" i="1"/>
  <c r="Z976" i="1"/>
  <c r="AC976" i="1"/>
  <c r="AE976" i="1"/>
  <c r="AF976" i="1"/>
  <c r="AJ976" i="1"/>
  <c r="BC976" i="1"/>
  <c r="AA976" i="1" s="1"/>
  <c r="AK976" i="1"/>
  <c r="J976" i="1" s="1"/>
  <c r="AY976" i="1"/>
  <c r="BE976" i="1"/>
  <c r="K977" i="1"/>
  <c r="AG977" i="1"/>
  <c r="M977" i="1"/>
  <c r="BA977" i="1"/>
  <c r="U977" i="1"/>
  <c r="W977" i="1"/>
  <c r="X977" i="1"/>
  <c r="Y977" i="1"/>
  <c r="Z977" i="1"/>
  <c r="AC977" i="1"/>
  <c r="AE977" i="1"/>
  <c r="AF977" i="1"/>
  <c r="AJ977" i="1"/>
  <c r="AK977" i="1"/>
  <c r="AY977" i="1"/>
  <c r="BE977" i="1"/>
  <c r="K978" i="1"/>
  <c r="AG978" i="1"/>
  <c r="M978" i="1"/>
  <c r="BA978" i="1"/>
  <c r="U978" i="1"/>
  <c r="W978" i="1"/>
  <c r="X978" i="1"/>
  <c r="Y978" i="1"/>
  <c r="Z978" i="1"/>
  <c r="AC978" i="1"/>
  <c r="AE978" i="1"/>
  <c r="AF978" i="1"/>
  <c r="AJ978" i="1"/>
  <c r="I978" i="1" s="1"/>
  <c r="AK978" i="1"/>
  <c r="AY978" i="1"/>
  <c r="BE978" i="1"/>
  <c r="K979" i="1"/>
  <c r="AG979" i="1"/>
  <c r="M979" i="1"/>
  <c r="BA979" i="1"/>
  <c r="U979" i="1"/>
  <c r="W979" i="1"/>
  <c r="X979" i="1"/>
  <c r="Y979" i="1"/>
  <c r="Z979" i="1"/>
  <c r="AC979" i="1"/>
  <c r="AE979" i="1"/>
  <c r="AF979" i="1"/>
  <c r="AJ979" i="1"/>
  <c r="AK979" i="1"/>
  <c r="BD979" i="1" s="1"/>
  <c r="AB979" i="1" s="1"/>
  <c r="AY979" i="1"/>
  <c r="BE979" i="1"/>
  <c r="K980" i="1"/>
  <c r="AG980" i="1"/>
  <c r="M980" i="1"/>
  <c r="BA980" i="1"/>
  <c r="U980" i="1"/>
  <c r="W980" i="1"/>
  <c r="X980" i="1"/>
  <c r="Y980" i="1"/>
  <c r="Z980" i="1"/>
  <c r="AC980" i="1"/>
  <c r="AE980" i="1"/>
  <c r="AF980" i="1"/>
  <c r="AJ980" i="1"/>
  <c r="I980" i="1" s="1"/>
  <c r="AK980" i="1"/>
  <c r="J980" i="1" s="1"/>
  <c r="AY980" i="1"/>
  <c r="BE980" i="1"/>
  <c r="K981" i="1"/>
  <c r="AG981" i="1"/>
  <c r="M981" i="1"/>
  <c r="BA981" i="1" s="1"/>
  <c r="U981" i="1"/>
  <c r="W981" i="1"/>
  <c r="X981" i="1"/>
  <c r="Y981" i="1"/>
  <c r="Z981" i="1"/>
  <c r="AC981" i="1"/>
  <c r="AE981" i="1"/>
  <c r="AF981" i="1"/>
  <c r="AJ981" i="1"/>
  <c r="AR981" i="1" s="1"/>
  <c r="AK981" i="1"/>
  <c r="BD981" i="1"/>
  <c r="AB981" i="1" s="1"/>
  <c r="AY981" i="1"/>
  <c r="BE981" i="1"/>
  <c r="K982" i="1"/>
  <c r="AG982" i="1"/>
  <c r="M982" i="1"/>
  <c r="BA982" i="1" s="1"/>
  <c r="U982" i="1"/>
  <c r="W982" i="1"/>
  <c r="X982" i="1"/>
  <c r="Y982" i="1"/>
  <c r="Z982" i="1"/>
  <c r="AC982" i="1"/>
  <c r="AE982" i="1"/>
  <c r="AF982" i="1"/>
  <c r="AJ982" i="1"/>
  <c r="AK982" i="1"/>
  <c r="AY982" i="1"/>
  <c r="BE982" i="1"/>
  <c r="K983" i="1"/>
  <c r="AG983" i="1"/>
  <c r="M983" i="1"/>
  <c r="BA983" i="1" s="1"/>
  <c r="U983" i="1"/>
  <c r="W983" i="1"/>
  <c r="X983" i="1"/>
  <c r="Y983" i="1"/>
  <c r="Z983" i="1"/>
  <c r="AC983" i="1"/>
  <c r="AE983" i="1"/>
  <c r="AF983" i="1"/>
  <c r="AJ983" i="1"/>
  <c r="I983" i="1" s="1"/>
  <c r="AK983" i="1"/>
  <c r="AS983" i="1" s="1"/>
  <c r="AY983" i="1"/>
  <c r="BE983" i="1"/>
  <c r="K984" i="1"/>
  <c r="AG984" i="1"/>
  <c r="M984" i="1"/>
  <c r="BA984" i="1" s="1"/>
  <c r="U984" i="1"/>
  <c r="W984" i="1"/>
  <c r="X984" i="1"/>
  <c r="Y984" i="1"/>
  <c r="Z984" i="1"/>
  <c r="AC984" i="1"/>
  <c r="AE984" i="1"/>
  <c r="AF984" i="1"/>
  <c r="AJ984" i="1"/>
  <c r="I984" i="1" s="1"/>
  <c r="AK984" i="1"/>
  <c r="BD984" i="1"/>
  <c r="AB984" i="1" s="1"/>
  <c r="AY984" i="1"/>
  <c r="BE984" i="1"/>
  <c r="K985" i="1"/>
  <c r="AG985" i="1"/>
  <c r="M985" i="1"/>
  <c r="BA985" i="1"/>
  <c r="U985" i="1"/>
  <c r="W985" i="1"/>
  <c r="X985" i="1"/>
  <c r="Y985" i="1"/>
  <c r="Z985" i="1"/>
  <c r="AC985" i="1"/>
  <c r="AE985" i="1"/>
  <c r="AF985" i="1"/>
  <c r="AJ985" i="1"/>
  <c r="AK985" i="1"/>
  <c r="AY985" i="1"/>
  <c r="BE985" i="1"/>
  <c r="K986" i="1"/>
  <c r="AG986" i="1"/>
  <c r="M986" i="1"/>
  <c r="BA986" i="1"/>
  <c r="U986" i="1"/>
  <c r="W986" i="1"/>
  <c r="X986" i="1"/>
  <c r="Y986" i="1"/>
  <c r="Z986" i="1"/>
  <c r="AC986" i="1"/>
  <c r="AE986" i="1"/>
  <c r="AF986" i="1"/>
  <c r="AJ986" i="1"/>
  <c r="I986" i="1" s="1"/>
  <c r="AK986" i="1"/>
  <c r="AS986" i="1"/>
  <c r="AY986" i="1"/>
  <c r="BE986" i="1"/>
  <c r="K987" i="1"/>
  <c r="AG987" i="1"/>
  <c r="M987" i="1"/>
  <c r="BA987" i="1" s="1"/>
  <c r="U987" i="1"/>
  <c r="W987" i="1"/>
  <c r="X987" i="1"/>
  <c r="Y987" i="1"/>
  <c r="Z987" i="1"/>
  <c r="AC987" i="1"/>
  <c r="AE987" i="1"/>
  <c r="AF987" i="1"/>
  <c r="AJ987" i="1"/>
  <c r="AR987" i="1"/>
  <c r="AK987" i="1"/>
  <c r="AY987" i="1"/>
  <c r="BE987" i="1"/>
  <c r="K988" i="1"/>
  <c r="AG988" i="1"/>
  <c r="M988" i="1"/>
  <c r="BA988" i="1"/>
  <c r="U988" i="1"/>
  <c r="W988" i="1"/>
  <c r="X988" i="1"/>
  <c r="Y988" i="1"/>
  <c r="Z988" i="1"/>
  <c r="AC988" i="1"/>
  <c r="AE988" i="1"/>
  <c r="AF988" i="1"/>
  <c r="AJ988" i="1"/>
  <c r="AK988" i="1"/>
  <c r="BD988" i="1"/>
  <c r="AB988" i="1" s="1"/>
  <c r="AY988" i="1"/>
  <c r="BE988" i="1"/>
  <c r="K989" i="1"/>
  <c r="AG989" i="1"/>
  <c r="M989" i="1"/>
  <c r="BA989" i="1" s="1"/>
  <c r="U989" i="1"/>
  <c r="W989" i="1"/>
  <c r="X989" i="1"/>
  <c r="Y989" i="1"/>
  <c r="Z989" i="1"/>
  <c r="AC989" i="1"/>
  <c r="AE989" i="1"/>
  <c r="AF989" i="1"/>
  <c r="AJ989" i="1"/>
  <c r="AR989" i="1" s="1"/>
  <c r="AK989" i="1"/>
  <c r="AY989" i="1"/>
  <c r="BE989" i="1"/>
  <c r="K990" i="1"/>
  <c r="AG990" i="1"/>
  <c r="M990" i="1"/>
  <c r="BA990" i="1"/>
  <c r="U990" i="1"/>
  <c r="W990" i="1"/>
  <c r="X990" i="1"/>
  <c r="Y990" i="1"/>
  <c r="Z990" i="1"/>
  <c r="AC990" i="1"/>
  <c r="AE990" i="1"/>
  <c r="AF990" i="1"/>
  <c r="AJ990" i="1"/>
  <c r="AK990" i="1"/>
  <c r="BD990" i="1"/>
  <c r="AB990" i="1"/>
  <c r="AY990" i="1"/>
  <c r="BE990" i="1"/>
  <c r="K991" i="1"/>
  <c r="AG991" i="1"/>
  <c r="M991" i="1"/>
  <c r="BA991" i="1" s="1"/>
  <c r="U991" i="1"/>
  <c r="W991" i="1"/>
  <c r="X991" i="1"/>
  <c r="Y991" i="1"/>
  <c r="Z991" i="1"/>
  <c r="AC991" i="1"/>
  <c r="AE991" i="1"/>
  <c r="AF991" i="1"/>
  <c r="AJ991" i="1"/>
  <c r="I991" i="1"/>
  <c r="AK991" i="1"/>
  <c r="J991" i="1"/>
  <c r="AY991" i="1"/>
  <c r="BE991" i="1"/>
  <c r="K992" i="1"/>
  <c r="AG992" i="1"/>
  <c r="M992" i="1"/>
  <c r="BA992" i="1" s="1"/>
  <c r="U992" i="1"/>
  <c r="W992" i="1"/>
  <c r="X992" i="1"/>
  <c r="Y992" i="1"/>
  <c r="Z992" i="1"/>
  <c r="AC992" i="1"/>
  <c r="AE992" i="1"/>
  <c r="AF992" i="1"/>
  <c r="AJ992" i="1"/>
  <c r="AK992" i="1"/>
  <c r="J992" i="1" s="1"/>
  <c r="AY992" i="1"/>
  <c r="BE992" i="1"/>
  <c r="K993" i="1"/>
  <c r="AG993" i="1" s="1"/>
  <c r="M993" i="1"/>
  <c r="BA993" i="1" s="1"/>
  <c r="U993" i="1"/>
  <c r="W993" i="1"/>
  <c r="X993" i="1"/>
  <c r="Y993" i="1"/>
  <c r="Z993" i="1"/>
  <c r="AC993" i="1"/>
  <c r="AE993" i="1"/>
  <c r="AF993" i="1"/>
  <c r="AJ993" i="1"/>
  <c r="AK993" i="1"/>
  <c r="J993" i="1"/>
  <c r="AY993" i="1"/>
  <c r="BE993" i="1"/>
  <c r="K994" i="1"/>
  <c r="AG994" i="1" s="1"/>
  <c r="M994" i="1"/>
  <c r="BA994" i="1"/>
  <c r="U994" i="1"/>
  <c r="W994" i="1"/>
  <c r="X994" i="1"/>
  <c r="Y994" i="1"/>
  <c r="Z994" i="1"/>
  <c r="AC994" i="1"/>
  <c r="AE994" i="1"/>
  <c r="AF994" i="1"/>
  <c r="AJ994" i="1"/>
  <c r="AR994" i="1"/>
  <c r="AK994" i="1"/>
  <c r="BD994" i="1" s="1"/>
  <c r="AB994" i="1" s="1"/>
  <c r="AY994" i="1"/>
  <c r="BE994" i="1"/>
  <c r="K995" i="1"/>
  <c r="AG995" i="1" s="1"/>
  <c r="M995" i="1"/>
  <c r="BA995" i="1" s="1"/>
  <c r="U995" i="1"/>
  <c r="W995" i="1"/>
  <c r="X995" i="1"/>
  <c r="Y995" i="1"/>
  <c r="Z995" i="1"/>
  <c r="AC995" i="1"/>
  <c r="AE995" i="1"/>
  <c r="AF995" i="1"/>
  <c r="AJ995" i="1"/>
  <c r="AK995" i="1"/>
  <c r="AS995" i="1" s="1"/>
  <c r="AY995" i="1"/>
  <c r="BE995" i="1"/>
  <c r="K996" i="1"/>
  <c r="AG996" i="1"/>
  <c r="M996" i="1"/>
  <c r="BA996" i="1"/>
  <c r="U996" i="1"/>
  <c r="W996" i="1"/>
  <c r="X996" i="1"/>
  <c r="Y996" i="1"/>
  <c r="Z996" i="1"/>
  <c r="AC996" i="1"/>
  <c r="AE996" i="1"/>
  <c r="AF996" i="1"/>
  <c r="AJ996" i="1"/>
  <c r="I996" i="1" s="1"/>
  <c r="AK996" i="1"/>
  <c r="BD996" i="1"/>
  <c r="AB996" i="1" s="1"/>
  <c r="AY996" i="1"/>
  <c r="BE996" i="1"/>
  <c r="K997" i="1"/>
  <c r="AG997" i="1"/>
  <c r="M997" i="1"/>
  <c r="BA997" i="1" s="1"/>
  <c r="U997" i="1"/>
  <c r="W997" i="1"/>
  <c r="X997" i="1"/>
  <c r="Y997" i="1"/>
  <c r="Z997" i="1"/>
  <c r="AC997" i="1"/>
  <c r="AE997" i="1"/>
  <c r="AF997" i="1"/>
  <c r="AJ997" i="1"/>
  <c r="AK997" i="1"/>
  <c r="BD997" i="1"/>
  <c r="AB997" i="1" s="1"/>
  <c r="AY997" i="1"/>
  <c r="BE997" i="1"/>
  <c r="K998" i="1"/>
  <c r="AG998" i="1"/>
  <c r="M998" i="1"/>
  <c r="BA998" i="1" s="1"/>
  <c r="U998" i="1"/>
  <c r="W998" i="1"/>
  <c r="X998" i="1"/>
  <c r="Y998" i="1"/>
  <c r="Z998" i="1"/>
  <c r="AC998" i="1"/>
  <c r="AE998" i="1"/>
  <c r="AF998" i="1"/>
  <c r="AJ998" i="1"/>
  <c r="I998" i="1" s="1"/>
  <c r="AK998" i="1"/>
  <c r="AY998" i="1"/>
  <c r="BE998" i="1"/>
  <c r="K999" i="1"/>
  <c r="AG999" i="1"/>
  <c r="M999" i="1"/>
  <c r="BA999" i="1"/>
  <c r="U999" i="1"/>
  <c r="W999" i="1"/>
  <c r="X999" i="1"/>
  <c r="Y999" i="1"/>
  <c r="Z999" i="1"/>
  <c r="AC999" i="1"/>
  <c r="AE999" i="1"/>
  <c r="AF999" i="1"/>
  <c r="AJ999" i="1"/>
  <c r="I999" i="1" s="1"/>
  <c r="AK999" i="1"/>
  <c r="AY999" i="1"/>
  <c r="BE999" i="1"/>
  <c r="K1000" i="1"/>
  <c r="AG1000" i="1" s="1"/>
  <c r="M1000" i="1"/>
  <c r="BA1000" i="1" s="1"/>
  <c r="U1000" i="1"/>
  <c r="W1000" i="1"/>
  <c r="X1000" i="1"/>
  <c r="Y1000" i="1"/>
  <c r="Z1000" i="1"/>
  <c r="AC1000" i="1"/>
  <c r="AE1000" i="1"/>
  <c r="AF1000" i="1"/>
  <c r="AJ1000" i="1"/>
  <c r="BC1000" i="1"/>
  <c r="AA1000" i="1"/>
  <c r="AK1000" i="1"/>
  <c r="AY1000" i="1"/>
  <c r="BE1000" i="1"/>
  <c r="K1001" i="1"/>
  <c r="AG1001" i="1"/>
  <c r="M1001" i="1"/>
  <c r="BA1001" i="1"/>
  <c r="U1001" i="1"/>
  <c r="W1001" i="1"/>
  <c r="X1001" i="1"/>
  <c r="Y1001" i="1"/>
  <c r="Z1001" i="1"/>
  <c r="AC1001" i="1"/>
  <c r="AE1001" i="1"/>
  <c r="AF1001" i="1"/>
  <c r="AJ1001" i="1"/>
  <c r="I1001" i="1" s="1"/>
  <c r="AK1001" i="1"/>
  <c r="AY1001" i="1"/>
  <c r="BE1001" i="1"/>
  <c r="K1002" i="1"/>
  <c r="AG1002" i="1" s="1"/>
  <c r="M1002" i="1"/>
  <c r="BA1002" i="1"/>
  <c r="U1002" i="1"/>
  <c r="W1002" i="1"/>
  <c r="X1002" i="1"/>
  <c r="Y1002" i="1"/>
  <c r="Z1002" i="1"/>
  <c r="AC1002" i="1"/>
  <c r="AE1002" i="1"/>
  <c r="AF1002" i="1"/>
  <c r="AJ1002" i="1"/>
  <c r="AR1002" i="1" s="1"/>
  <c r="AK1002" i="1"/>
  <c r="J1002" i="1" s="1"/>
  <c r="AY1002" i="1"/>
  <c r="BE1002" i="1"/>
  <c r="K1003" i="1"/>
  <c r="AG1003" i="1"/>
  <c r="M1003" i="1"/>
  <c r="BA1003" i="1" s="1"/>
  <c r="U1003" i="1"/>
  <c r="W1003" i="1"/>
  <c r="X1003" i="1"/>
  <c r="Y1003" i="1"/>
  <c r="Z1003" i="1"/>
  <c r="AC1003" i="1"/>
  <c r="AE1003" i="1"/>
  <c r="AF1003" i="1"/>
  <c r="AJ1003" i="1"/>
  <c r="I1003" i="1" s="1"/>
  <c r="AK1003" i="1"/>
  <c r="AY1003" i="1"/>
  <c r="BE1003" i="1"/>
  <c r="K1005" i="1"/>
  <c r="AG1005" i="1" s="1"/>
  <c r="M1005" i="1"/>
  <c r="BA1005" i="1" s="1"/>
  <c r="U1005" i="1"/>
  <c r="W1005" i="1"/>
  <c r="X1005" i="1"/>
  <c r="Y1005" i="1"/>
  <c r="Z1005" i="1"/>
  <c r="AC1005" i="1"/>
  <c r="AE1005" i="1"/>
  <c r="AF1005" i="1"/>
  <c r="AJ1005" i="1"/>
  <c r="AK1005" i="1"/>
  <c r="J1005" i="1" s="1"/>
  <c r="AY1005" i="1"/>
  <c r="BE1005" i="1"/>
  <c r="K1006" i="1"/>
  <c r="AG1006" i="1" s="1"/>
  <c r="M1006" i="1"/>
  <c r="U1006" i="1"/>
  <c r="W1006" i="1"/>
  <c r="X1006" i="1"/>
  <c r="Y1006" i="1"/>
  <c r="Z1006" i="1"/>
  <c r="AC1006" i="1"/>
  <c r="AE1006" i="1"/>
  <c r="AF1006" i="1"/>
  <c r="AJ1006" i="1"/>
  <c r="AK1006" i="1"/>
  <c r="AY1006" i="1"/>
  <c r="BE1006" i="1"/>
  <c r="K1007" i="1"/>
  <c r="AG1007" i="1" s="1"/>
  <c r="M1007" i="1"/>
  <c r="BA1007" i="1" s="1"/>
  <c r="U1007" i="1"/>
  <c r="W1007" i="1"/>
  <c r="X1007" i="1"/>
  <c r="Y1007" i="1"/>
  <c r="Z1007" i="1"/>
  <c r="AC1007" i="1"/>
  <c r="AE1007" i="1"/>
  <c r="AF1007" i="1"/>
  <c r="AJ1007" i="1"/>
  <c r="BC1007" i="1"/>
  <c r="AA1007" i="1" s="1"/>
  <c r="AK1007" i="1"/>
  <c r="BD1007" i="1"/>
  <c r="AB1007" i="1" s="1"/>
  <c r="AY1007" i="1"/>
  <c r="BE1007" i="1"/>
  <c r="K1008" i="1"/>
  <c r="AG1008" i="1"/>
  <c r="M1008" i="1"/>
  <c r="BA1008" i="1" s="1"/>
  <c r="U1008" i="1"/>
  <c r="W1008" i="1"/>
  <c r="X1008" i="1"/>
  <c r="Y1008" i="1"/>
  <c r="Z1008" i="1"/>
  <c r="AC1008" i="1"/>
  <c r="AE1008" i="1"/>
  <c r="AF1008" i="1"/>
  <c r="AJ1008" i="1"/>
  <c r="AK1008" i="1"/>
  <c r="J1008" i="1" s="1"/>
  <c r="AY1008" i="1"/>
  <c r="BE1008" i="1"/>
  <c r="K1009" i="1"/>
  <c r="M1009" i="1"/>
  <c r="BA1009" i="1" s="1"/>
  <c r="U1009" i="1"/>
  <c r="W1009" i="1"/>
  <c r="X1009" i="1"/>
  <c r="Y1009" i="1"/>
  <c r="Z1009" i="1"/>
  <c r="AC1009" i="1"/>
  <c r="AE1009" i="1"/>
  <c r="AF1009" i="1"/>
  <c r="AJ1009" i="1"/>
  <c r="BC1009" i="1" s="1"/>
  <c r="AA1009" i="1" s="1"/>
  <c r="AK1009" i="1"/>
  <c r="J1009" i="1" s="1"/>
  <c r="AY1009" i="1"/>
  <c r="BE1009" i="1"/>
  <c r="K1010" i="1"/>
  <c r="AG1010" i="1"/>
  <c r="M1010" i="1"/>
  <c r="BA1010" i="1" s="1"/>
  <c r="U1010" i="1"/>
  <c r="W1010" i="1"/>
  <c r="X1010" i="1"/>
  <c r="Y1010" i="1"/>
  <c r="Z1010" i="1"/>
  <c r="AC1010" i="1"/>
  <c r="AE1010" i="1"/>
  <c r="AF1010" i="1"/>
  <c r="AJ1010" i="1"/>
  <c r="AR1010" i="1" s="1"/>
  <c r="AK1010" i="1"/>
  <c r="AS1010" i="1" s="1"/>
  <c r="AY1010" i="1"/>
  <c r="BE1010" i="1"/>
  <c r="K1011" i="1"/>
  <c r="AG1011" i="1" s="1"/>
  <c r="M1011" i="1"/>
  <c r="BA1011" i="1"/>
  <c r="U1011" i="1"/>
  <c r="W1011" i="1"/>
  <c r="X1011" i="1"/>
  <c r="Y1011" i="1"/>
  <c r="Z1011" i="1"/>
  <c r="AC1011" i="1"/>
  <c r="AE1011" i="1"/>
  <c r="AF1011" i="1"/>
  <c r="AJ1011" i="1"/>
  <c r="AR1011" i="1" s="1"/>
  <c r="AK1011" i="1"/>
  <c r="AY1011" i="1"/>
  <c r="BE1011" i="1"/>
  <c r="K1012" i="1"/>
  <c r="AG1012" i="1" s="1"/>
  <c r="M1012" i="1"/>
  <c r="BA1012" i="1" s="1"/>
  <c r="U1012" i="1"/>
  <c r="W1012" i="1"/>
  <c r="X1012" i="1"/>
  <c r="Y1012" i="1"/>
  <c r="Z1012" i="1"/>
  <c r="AC1012" i="1"/>
  <c r="AE1012" i="1"/>
  <c r="AF1012" i="1"/>
  <c r="AJ1012" i="1"/>
  <c r="I1012" i="1"/>
  <c r="AK1012" i="1"/>
  <c r="J1012" i="1" s="1"/>
  <c r="AY1012" i="1"/>
  <c r="BE1012" i="1"/>
  <c r="K1013" i="1"/>
  <c r="AG1013" i="1" s="1"/>
  <c r="M1013" i="1"/>
  <c r="BA1013" i="1"/>
  <c r="U1013" i="1"/>
  <c r="W1013" i="1"/>
  <c r="X1013" i="1"/>
  <c r="Y1013" i="1"/>
  <c r="Z1013" i="1"/>
  <c r="AC1013" i="1"/>
  <c r="AE1013" i="1"/>
  <c r="AF1013" i="1"/>
  <c r="AJ1013" i="1"/>
  <c r="AK1013" i="1"/>
  <c r="AS1013" i="1" s="1"/>
  <c r="AY1013" i="1"/>
  <c r="BE1013" i="1"/>
  <c r="K1014" i="1"/>
  <c r="AG1014" i="1" s="1"/>
  <c r="M1014" i="1"/>
  <c r="BA1014" i="1" s="1"/>
  <c r="U1014" i="1"/>
  <c r="W1014" i="1"/>
  <c r="X1014" i="1"/>
  <c r="Y1014" i="1"/>
  <c r="Z1014" i="1"/>
  <c r="AC1014" i="1"/>
  <c r="AE1014" i="1"/>
  <c r="AF1014" i="1"/>
  <c r="AJ1014" i="1"/>
  <c r="BC1014" i="1" s="1"/>
  <c r="AA1014" i="1" s="1"/>
  <c r="AK1014" i="1"/>
  <c r="BD1014" i="1" s="1"/>
  <c r="AB1014" i="1" s="1"/>
  <c r="AY1014" i="1"/>
  <c r="BE1014" i="1"/>
  <c r="K1015" i="1"/>
  <c r="AG1015" i="1" s="1"/>
  <c r="M1015" i="1"/>
  <c r="BA1015" i="1"/>
  <c r="U1015" i="1"/>
  <c r="W1015" i="1"/>
  <c r="X1015" i="1"/>
  <c r="Y1015" i="1"/>
  <c r="Z1015" i="1"/>
  <c r="AC1015" i="1"/>
  <c r="AE1015" i="1"/>
  <c r="AF1015" i="1"/>
  <c r="AJ1015" i="1"/>
  <c r="BC1015" i="1" s="1"/>
  <c r="AA1015" i="1" s="1"/>
  <c r="AK1015" i="1"/>
  <c r="AY1015" i="1"/>
  <c r="BE1015" i="1"/>
  <c r="K1016" i="1"/>
  <c r="AG1016" i="1"/>
  <c r="M1016" i="1"/>
  <c r="BA1016" i="1" s="1"/>
  <c r="U1016" i="1"/>
  <c r="W1016" i="1"/>
  <c r="X1016" i="1"/>
  <c r="Y1016" i="1"/>
  <c r="Z1016" i="1"/>
  <c r="AC1016" i="1"/>
  <c r="AE1016" i="1"/>
  <c r="AF1016" i="1"/>
  <c r="AJ1016" i="1"/>
  <c r="AK1016" i="1"/>
  <c r="BD1016" i="1" s="1"/>
  <c r="AB1016" i="1" s="1"/>
  <c r="AY1016" i="1"/>
  <c r="BE1016" i="1"/>
  <c r="K1017" i="1"/>
  <c r="AG1017" i="1" s="1"/>
  <c r="M1017" i="1"/>
  <c r="BA1017" i="1" s="1"/>
  <c r="U1017" i="1"/>
  <c r="W1017" i="1"/>
  <c r="X1017" i="1"/>
  <c r="Y1017" i="1"/>
  <c r="Z1017" i="1"/>
  <c r="AC1017" i="1"/>
  <c r="AE1017" i="1"/>
  <c r="AF1017" i="1"/>
  <c r="AJ1017" i="1"/>
  <c r="AK1017" i="1"/>
  <c r="BD1017" i="1" s="1"/>
  <c r="AB1017" i="1" s="1"/>
  <c r="AY1017" i="1"/>
  <c r="BE1017" i="1"/>
  <c r="K1018" i="1"/>
  <c r="M1018" i="1"/>
  <c r="BA1018" i="1" s="1"/>
  <c r="U1018" i="1"/>
  <c r="W1018" i="1"/>
  <c r="X1018" i="1"/>
  <c r="Y1018" i="1"/>
  <c r="Z1018" i="1"/>
  <c r="AC1018" i="1"/>
  <c r="AE1018" i="1"/>
  <c r="AF1018" i="1"/>
  <c r="AJ1018" i="1"/>
  <c r="AK1018" i="1"/>
  <c r="J1018" i="1"/>
  <c r="AY1018" i="1"/>
  <c r="BE1018" i="1"/>
  <c r="K1019" i="1"/>
  <c r="AG1019" i="1" s="1"/>
  <c r="M1019" i="1"/>
  <c r="BA1019" i="1" s="1"/>
  <c r="U1019" i="1"/>
  <c r="W1019" i="1"/>
  <c r="X1019" i="1"/>
  <c r="Y1019" i="1"/>
  <c r="Z1019" i="1"/>
  <c r="AC1019" i="1"/>
  <c r="AE1019" i="1"/>
  <c r="AF1019" i="1"/>
  <c r="AJ1019" i="1"/>
  <c r="BC1019" i="1"/>
  <c r="AA1019" i="1" s="1"/>
  <c r="AK1019" i="1"/>
  <c r="AY1019" i="1"/>
  <c r="BE1019" i="1"/>
  <c r="K1020" i="1"/>
  <c r="AG1020" i="1" s="1"/>
  <c r="M1020" i="1"/>
  <c r="BA1020" i="1"/>
  <c r="U1020" i="1"/>
  <c r="W1020" i="1"/>
  <c r="X1020" i="1"/>
  <c r="Y1020" i="1"/>
  <c r="Z1020" i="1"/>
  <c r="AC1020" i="1"/>
  <c r="AE1020" i="1"/>
  <c r="AF1020" i="1"/>
  <c r="AJ1020" i="1"/>
  <c r="I1020" i="1" s="1"/>
  <c r="AK1020" i="1"/>
  <c r="J1020" i="1" s="1"/>
  <c r="AY1020" i="1"/>
  <c r="BE1020" i="1"/>
  <c r="K1021" i="1"/>
  <c r="AG1021" i="1"/>
  <c r="M1021" i="1"/>
  <c r="BA1021" i="1" s="1"/>
  <c r="U1021" i="1"/>
  <c r="W1021" i="1"/>
  <c r="X1021" i="1"/>
  <c r="Y1021" i="1"/>
  <c r="Z1021" i="1"/>
  <c r="AC1021" i="1"/>
  <c r="AE1021" i="1"/>
  <c r="AF1021" i="1"/>
  <c r="AJ1021" i="1"/>
  <c r="BC1021" i="1" s="1"/>
  <c r="AA1021" i="1" s="1"/>
  <c r="AK1021" i="1"/>
  <c r="BD1021" i="1" s="1"/>
  <c r="AB1021" i="1" s="1"/>
  <c r="AY1021" i="1"/>
  <c r="BE1021" i="1"/>
  <c r="K1022" i="1"/>
  <c r="AG1022" i="1" s="1"/>
  <c r="M1022" i="1"/>
  <c r="BA1022" i="1" s="1"/>
  <c r="U1022" i="1"/>
  <c r="W1022" i="1"/>
  <c r="X1022" i="1"/>
  <c r="Y1022" i="1"/>
  <c r="Z1022" i="1"/>
  <c r="AC1022" i="1"/>
  <c r="AE1022" i="1"/>
  <c r="AF1022" i="1"/>
  <c r="AJ1022" i="1"/>
  <c r="I1022" i="1"/>
  <c r="AK1022" i="1"/>
  <c r="J1022" i="1" s="1"/>
  <c r="AY1022" i="1"/>
  <c r="BE1022" i="1"/>
  <c r="K1023" i="1"/>
  <c r="AG1023" i="1" s="1"/>
  <c r="M1023" i="1"/>
  <c r="BA1023" i="1"/>
  <c r="U1023" i="1"/>
  <c r="W1023" i="1"/>
  <c r="X1023" i="1"/>
  <c r="Y1023" i="1"/>
  <c r="Z1023" i="1"/>
  <c r="AC1023" i="1"/>
  <c r="AE1023" i="1"/>
  <c r="AF1023" i="1"/>
  <c r="AJ1023" i="1"/>
  <c r="AK1023" i="1"/>
  <c r="AY1023" i="1"/>
  <c r="BE1023" i="1"/>
  <c r="K1024" i="1"/>
  <c r="AG1024" i="1" s="1"/>
  <c r="M1024" i="1"/>
  <c r="BA1024" i="1"/>
  <c r="U1024" i="1"/>
  <c r="W1024" i="1"/>
  <c r="X1024" i="1"/>
  <c r="Y1024" i="1"/>
  <c r="Z1024" i="1"/>
  <c r="AC1024" i="1"/>
  <c r="AE1024" i="1"/>
  <c r="AF1024" i="1"/>
  <c r="AJ1024" i="1"/>
  <c r="AR1024" i="1" s="1"/>
  <c r="AK1024" i="1"/>
  <c r="BD1024" i="1" s="1"/>
  <c r="AB1024" i="1" s="1"/>
  <c r="AY1024" i="1"/>
  <c r="BE1024" i="1"/>
  <c r="K1025" i="1"/>
  <c r="AG1025" i="1" s="1"/>
  <c r="M1025" i="1"/>
  <c r="BA1025" i="1"/>
  <c r="U1025" i="1"/>
  <c r="W1025" i="1"/>
  <c r="X1025" i="1"/>
  <c r="Y1025" i="1"/>
  <c r="Z1025" i="1"/>
  <c r="AC1025" i="1"/>
  <c r="AE1025" i="1"/>
  <c r="AF1025" i="1"/>
  <c r="AJ1025" i="1"/>
  <c r="AK1025" i="1"/>
  <c r="AY1025" i="1"/>
  <c r="BE1025" i="1"/>
  <c r="K1026" i="1"/>
  <c r="AG1026" i="1" s="1"/>
  <c r="M1026" i="1"/>
  <c r="BA1026" i="1"/>
  <c r="U1026" i="1"/>
  <c r="W1026" i="1"/>
  <c r="X1026" i="1"/>
  <c r="Y1026" i="1"/>
  <c r="Z1026" i="1"/>
  <c r="AC1026" i="1"/>
  <c r="AE1026" i="1"/>
  <c r="AF1026" i="1"/>
  <c r="AJ1026" i="1"/>
  <c r="AR1026" i="1" s="1"/>
  <c r="AK1026" i="1"/>
  <c r="J1026" i="1" s="1"/>
  <c r="AY1026" i="1"/>
  <c r="BE1026" i="1"/>
  <c r="K1027" i="1"/>
  <c r="AG1027" i="1"/>
  <c r="M1027" i="1"/>
  <c r="BA1027" i="1" s="1"/>
  <c r="U1027" i="1"/>
  <c r="W1027" i="1"/>
  <c r="X1027" i="1"/>
  <c r="Y1027" i="1"/>
  <c r="Z1027" i="1"/>
  <c r="AC1027" i="1"/>
  <c r="AE1027" i="1"/>
  <c r="AF1027" i="1"/>
  <c r="AJ1027" i="1"/>
  <c r="BC1027" i="1" s="1"/>
  <c r="AA1027" i="1" s="1"/>
  <c r="AK1027" i="1"/>
  <c r="BD1027" i="1" s="1"/>
  <c r="AB1027" i="1" s="1"/>
  <c r="AY1027" i="1"/>
  <c r="BE1027" i="1"/>
  <c r="K1028" i="1"/>
  <c r="AG1028" i="1" s="1"/>
  <c r="M1028" i="1"/>
  <c r="BA1028" i="1" s="1"/>
  <c r="U1028" i="1"/>
  <c r="W1028" i="1"/>
  <c r="X1028" i="1"/>
  <c r="Y1028" i="1"/>
  <c r="Z1028" i="1"/>
  <c r="AC1028" i="1"/>
  <c r="AE1028" i="1"/>
  <c r="AF1028" i="1"/>
  <c r="AJ1028" i="1"/>
  <c r="AR1028" i="1"/>
  <c r="AK1028" i="1"/>
  <c r="AY1028" i="1"/>
  <c r="BE1028" i="1"/>
  <c r="K1029" i="1"/>
  <c r="AG1029" i="1"/>
  <c r="M1029" i="1"/>
  <c r="BA1029" i="1" s="1"/>
  <c r="U1029" i="1"/>
  <c r="W1029" i="1"/>
  <c r="X1029" i="1"/>
  <c r="Y1029" i="1"/>
  <c r="Z1029" i="1"/>
  <c r="AC1029" i="1"/>
  <c r="AE1029" i="1"/>
  <c r="AF1029" i="1"/>
  <c r="AJ1029" i="1"/>
  <c r="AK1029" i="1"/>
  <c r="J1029" i="1" s="1"/>
  <c r="AY1029" i="1"/>
  <c r="BE1029" i="1"/>
  <c r="K1030" i="1"/>
  <c r="AG1030" i="1" s="1"/>
  <c r="M1030" i="1"/>
  <c r="BA1030" i="1"/>
  <c r="U1030" i="1"/>
  <c r="W1030" i="1"/>
  <c r="X1030" i="1"/>
  <c r="Y1030" i="1"/>
  <c r="Z1030" i="1"/>
  <c r="AC1030" i="1"/>
  <c r="AE1030" i="1"/>
  <c r="AF1030" i="1"/>
  <c r="AJ1030" i="1"/>
  <c r="AK1030" i="1"/>
  <c r="J1030" i="1" s="1"/>
  <c r="AY1030" i="1"/>
  <c r="BE1030" i="1"/>
  <c r="K1031" i="1"/>
  <c r="AG1031" i="1" s="1"/>
  <c r="M1031" i="1"/>
  <c r="BA1031" i="1" s="1"/>
  <c r="U1031" i="1"/>
  <c r="W1031" i="1"/>
  <c r="X1031" i="1"/>
  <c r="Y1031" i="1"/>
  <c r="Z1031" i="1"/>
  <c r="AC1031" i="1"/>
  <c r="AE1031" i="1"/>
  <c r="AF1031" i="1"/>
  <c r="AJ1031" i="1"/>
  <c r="BC1031" i="1" s="1"/>
  <c r="AA1031" i="1" s="1"/>
  <c r="AK1031" i="1"/>
  <c r="AY1031" i="1"/>
  <c r="BE1031" i="1"/>
  <c r="K1032" i="1"/>
  <c r="AG1032" i="1" s="1"/>
  <c r="M1032" i="1"/>
  <c r="BA1032" i="1" s="1"/>
  <c r="U1032" i="1"/>
  <c r="W1032" i="1"/>
  <c r="X1032" i="1"/>
  <c r="Y1032" i="1"/>
  <c r="Z1032" i="1"/>
  <c r="AC1032" i="1"/>
  <c r="AE1032" i="1"/>
  <c r="AF1032" i="1"/>
  <c r="AJ1032" i="1"/>
  <c r="I1032" i="1"/>
  <c r="AK1032" i="1"/>
  <c r="AY1032" i="1"/>
  <c r="BE1032" i="1"/>
  <c r="K1033" i="1"/>
  <c r="AG1033" i="1" s="1"/>
  <c r="M1033" i="1"/>
  <c r="BA1033" i="1"/>
  <c r="U1033" i="1"/>
  <c r="W1033" i="1"/>
  <c r="X1033" i="1"/>
  <c r="Y1033" i="1"/>
  <c r="Z1033" i="1"/>
  <c r="AC1033" i="1"/>
  <c r="AE1033" i="1"/>
  <c r="AF1033" i="1"/>
  <c r="AJ1033" i="1"/>
  <c r="BC1033" i="1" s="1"/>
  <c r="AA1033" i="1" s="1"/>
  <c r="AK1033" i="1"/>
  <c r="BD1033" i="1" s="1"/>
  <c r="AB1033" i="1" s="1"/>
  <c r="AY1033" i="1"/>
  <c r="BE1033" i="1"/>
  <c r="K1034" i="1"/>
  <c r="AG1034" i="1" s="1"/>
  <c r="M1034" i="1"/>
  <c r="BA1034" i="1"/>
  <c r="U1034" i="1"/>
  <c r="W1034" i="1"/>
  <c r="X1034" i="1"/>
  <c r="Y1034" i="1"/>
  <c r="Z1034" i="1"/>
  <c r="AC1034" i="1"/>
  <c r="AE1034" i="1"/>
  <c r="AF1034" i="1"/>
  <c r="AJ1034" i="1"/>
  <c r="BC1034" i="1" s="1"/>
  <c r="AA1034" i="1" s="1"/>
  <c r="AK1034" i="1"/>
  <c r="J1034" i="1"/>
  <c r="AY1034" i="1"/>
  <c r="BE1034" i="1"/>
  <c r="K1035" i="1"/>
  <c r="AG1035" i="1" s="1"/>
  <c r="M1035" i="1"/>
  <c r="BA1035" i="1" s="1"/>
  <c r="U1035" i="1"/>
  <c r="W1035" i="1"/>
  <c r="X1035" i="1"/>
  <c r="Y1035" i="1"/>
  <c r="Z1035" i="1"/>
  <c r="AC1035" i="1"/>
  <c r="AE1035" i="1"/>
  <c r="AF1035" i="1"/>
  <c r="AJ1035" i="1"/>
  <c r="AK1035" i="1"/>
  <c r="AY1035" i="1"/>
  <c r="BE1035" i="1"/>
  <c r="K1036" i="1"/>
  <c r="AG1036" i="1" s="1"/>
  <c r="M1036" i="1"/>
  <c r="BA1036" i="1" s="1"/>
  <c r="U1036" i="1"/>
  <c r="W1036" i="1"/>
  <c r="X1036" i="1"/>
  <c r="Y1036" i="1"/>
  <c r="Z1036" i="1"/>
  <c r="AC1036" i="1"/>
  <c r="AE1036" i="1"/>
  <c r="AF1036" i="1"/>
  <c r="AJ1036" i="1"/>
  <c r="AR1036" i="1"/>
  <c r="AK1036" i="1"/>
  <c r="J1036" i="1" s="1"/>
  <c r="AY1036" i="1"/>
  <c r="BE1036" i="1"/>
  <c r="K1037" i="1"/>
  <c r="AG1037" i="1" s="1"/>
  <c r="M1037" i="1"/>
  <c r="BA1037" i="1"/>
  <c r="U1037" i="1"/>
  <c r="W1037" i="1"/>
  <c r="X1037" i="1"/>
  <c r="Y1037" i="1"/>
  <c r="Z1037" i="1"/>
  <c r="AC1037" i="1"/>
  <c r="AE1037" i="1"/>
  <c r="AF1037" i="1"/>
  <c r="AJ1037" i="1"/>
  <c r="AK1037" i="1"/>
  <c r="AY1037" i="1"/>
  <c r="BE1037" i="1"/>
  <c r="K1038" i="1"/>
  <c r="AG1038" i="1" s="1"/>
  <c r="M1038" i="1"/>
  <c r="BA1038" i="1"/>
  <c r="U1038" i="1"/>
  <c r="W1038" i="1"/>
  <c r="X1038" i="1"/>
  <c r="Y1038" i="1"/>
  <c r="Z1038" i="1"/>
  <c r="AC1038" i="1"/>
  <c r="AE1038" i="1"/>
  <c r="AF1038" i="1"/>
  <c r="AJ1038" i="1"/>
  <c r="BC1038" i="1" s="1"/>
  <c r="AA1038" i="1" s="1"/>
  <c r="AK1038" i="1"/>
  <c r="AY1038" i="1"/>
  <c r="BE1038" i="1"/>
  <c r="K1039" i="1"/>
  <c r="AG1039" i="1"/>
  <c r="M1039" i="1"/>
  <c r="BA1039" i="1" s="1"/>
  <c r="U1039" i="1"/>
  <c r="W1039" i="1"/>
  <c r="X1039" i="1"/>
  <c r="Y1039" i="1"/>
  <c r="Z1039" i="1"/>
  <c r="AC1039" i="1"/>
  <c r="AE1039" i="1"/>
  <c r="AF1039" i="1"/>
  <c r="AJ1039" i="1"/>
  <c r="AR1039" i="1" s="1"/>
  <c r="AK1039" i="1"/>
  <c r="AY1039" i="1"/>
  <c r="BE1039" i="1"/>
  <c r="K1040" i="1"/>
  <c r="AG1040" i="1" s="1"/>
  <c r="M1040" i="1"/>
  <c r="BA1040" i="1"/>
  <c r="U1040" i="1"/>
  <c r="W1040" i="1"/>
  <c r="X1040" i="1"/>
  <c r="Y1040" i="1"/>
  <c r="Z1040" i="1"/>
  <c r="AC1040" i="1"/>
  <c r="AE1040" i="1"/>
  <c r="AF1040" i="1"/>
  <c r="AJ1040" i="1"/>
  <c r="AK1040" i="1"/>
  <c r="AY1040" i="1"/>
  <c r="BE1040" i="1"/>
  <c r="K1041" i="1"/>
  <c r="AG1041" i="1" s="1"/>
  <c r="M1041" i="1"/>
  <c r="BA1041" i="1"/>
  <c r="U1041" i="1"/>
  <c r="W1041" i="1"/>
  <c r="X1041" i="1"/>
  <c r="Y1041" i="1"/>
  <c r="Z1041" i="1"/>
  <c r="AC1041" i="1"/>
  <c r="AE1041" i="1"/>
  <c r="AF1041" i="1"/>
  <c r="AJ1041" i="1"/>
  <c r="BC1041" i="1" s="1"/>
  <c r="AA1041" i="1" s="1"/>
  <c r="AK1041" i="1"/>
  <c r="BD1041" i="1"/>
  <c r="AB1041" i="1" s="1"/>
  <c r="AY1041" i="1"/>
  <c r="BE1041" i="1"/>
  <c r="K1042" i="1"/>
  <c r="AG1042" i="1" s="1"/>
  <c r="M1042" i="1"/>
  <c r="BA1042" i="1" s="1"/>
  <c r="U1042" i="1"/>
  <c r="W1042" i="1"/>
  <c r="X1042" i="1"/>
  <c r="Y1042" i="1"/>
  <c r="Z1042" i="1"/>
  <c r="AC1042" i="1"/>
  <c r="AE1042" i="1"/>
  <c r="AF1042" i="1"/>
  <c r="AJ1042" i="1"/>
  <c r="AR1042" i="1" s="1"/>
  <c r="AK1042" i="1"/>
  <c r="AS1042" i="1"/>
  <c r="AY1042" i="1"/>
  <c r="BE1042" i="1"/>
  <c r="K1043" i="1"/>
  <c r="AG1043" i="1" s="1"/>
  <c r="M1043" i="1"/>
  <c r="BA1043" i="1" s="1"/>
  <c r="U1043" i="1"/>
  <c r="W1043" i="1"/>
  <c r="X1043" i="1"/>
  <c r="Y1043" i="1"/>
  <c r="Z1043" i="1"/>
  <c r="AC1043" i="1"/>
  <c r="AE1043" i="1"/>
  <c r="AF1043" i="1"/>
  <c r="AJ1043" i="1"/>
  <c r="AK1043" i="1"/>
  <c r="BD1043" i="1" s="1"/>
  <c r="AB1043" i="1" s="1"/>
  <c r="AY1043" i="1"/>
  <c r="BE1043" i="1"/>
  <c r="K1044" i="1"/>
  <c r="AG1044" i="1" s="1"/>
  <c r="M1044" i="1"/>
  <c r="U1044" i="1"/>
  <c r="W1044" i="1"/>
  <c r="X1044" i="1"/>
  <c r="Y1044" i="1"/>
  <c r="Z1044" i="1"/>
  <c r="AC1044" i="1"/>
  <c r="AE1044" i="1"/>
  <c r="AF1044" i="1"/>
  <c r="AJ1044" i="1"/>
  <c r="BC1044" i="1" s="1"/>
  <c r="AA1044" i="1" s="1"/>
  <c r="AK1044" i="1"/>
  <c r="J1044" i="1" s="1"/>
  <c r="AY1044" i="1"/>
  <c r="BE1044" i="1"/>
  <c r="K1045" i="1"/>
  <c r="AG1045" i="1"/>
  <c r="M1045" i="1"/>
  <c r="BA1045" i="1" s="1"/>
  <c r="U1045" i="1"/>
  <c r="W1045" i="1"/>
  <c r="X1045" i="1"/>
  <c r="Y1045" i="1"/>
  <c r="Z1045" i="1"/>
  <c r="AC1045" i="1"/>
  <c r="AE1045" i="1"/>
  <c r="AF1045" i="1"/>
  <c r="AJ1045" i="1"/>
  <c r="AK1045" i="1"/>
  <c r="AY1045" i="1"/>
  <c r="BE1045" i="1"/>
  <c r="K1046" i="1"/>
  <c r="AG1046" i="1"/>
  <c r="M1046" i="1"/>
  <c r="BA1046" i="1" s="1"/>
  <c r="U1046" i="1"/>
  <c r="W1046" i="1"/>
  <c r="X1046" i="1"/>
  <c r="Y1046" i="1"/>
  <c r="Z1046" i="1"/>
  <c r="AC1046" i="1"/>
  <c r="AE1046" i="1"/>
  <c r="AF1046" i="1"/>
  <c r="AJ1046" i="1"/>
  <c r="AK1046" i="1"/>
  <c r="AY1046" i="1"/>
  <c r="BE1046" i="1"/>
  <c r="C2" i="2"/>
  <c r="G2" i="2"/>
  <c r="C4" i="2"/>
  <c r="G4" i="2"/>
  <c r="C6" i="2"/>
  <c r="G6" i="2"/>
  <c r="C8" i="2"/>
  <c r="G40" i="2"/>
  <c r="E42" i="2"/>
  <c r="F42" i="2"/>
  <c r="I42" i="2" s="1"/>
  <c r="C2" i="3"/>
  <c r="F2" i="3"/>
  <c r="C4" i="3"/>
  <c r="F4" i="3"/>
  <c r="C6" i="3"/>
  <c r="F6" i="3"/>
  <c r="C8" i="3"/>
  <c r="BA738" i="1"/>
  <c r="AS614" i="1"/>
  <c r="BC866" i="1"/>
  <c r="AA866" i="1"/>
  <c r="BD809" i="1"/>
  <c r="AB809" i="1" s="1"/>
  <c r="I790" i="1"/>
  <c r="BD720" i="1"/>
  <c r="Z720" i="1" s="1"/>
  <c r="AS720" i="1"/>
  <c r="I725" i="1"/>
  <c r="AR725" i="1"/>
  <c r="BD653" i="1"/>
  <c r="Z653" i="1" s="1"/>
  <c r="BA754" i="1"/>
  <c r="I678" i="1"/>
  <c r="AR678" i="1"/>
  <c r="BC678" i="1"/>
  <c r="Y678" i="1" s="1"/>
  <c r="J635" i="1"/>
  <c r="I653" i="1"/>
  <c r="BC691" i="1"/>
  <c r="Y691" i="1" s="1"/>
  <c r="AS639" i="1"/>
  <c r="J639" i="1"/>
  <c r="BD557" i="1"/>
  <c r="Z557" i="1" s="1"/>
  <c r="AS557" i="1"/>
  <c r="AQ557" i="1"/>
  <c r="J557" i="1"/>
  <c r="AR505" i="1"/>
  <c r="AS538" i="1"/>
  <c r="BD538" i="1"/>
  <c r="Z538" i="1" s="1"/>
  <c r="AR691" i="1"/>
  <c r="I636" i="1"/>
  <c r="AR606" i="1"/>
  <c r="I606" i="1"/>
  <c r="AR594" i="1"/>
  <c r="J547" i="1"/>
  <c r="AR612" i="1"/>
  <c r="I612" i="1"/>
  <c r="BD784" i="1"/>
  <c r="AB784" i="1" s="1"/>
  <c r="BC700" i="1"/>
  <c r="Y700" i="1" s="1"/>
  <c r="BD639" i="1"/>
  <c r="Z639" i="1"/>
  <c r="AR523" i="1"/>
  <c r="BC523" i="1"/>
  <c r="Y523" i="1" s="1"/>
  <c r="BD526" i="1"/>
  <c r="Z526" i="1"/>
  <c r="J479" i="1"/>
  <c r="BD433" i="1"/>
  <c r="Z433" i="1"/>
  <c r="I557" i="1"/>
  <c r="BD508" i="1"/>
  <c r="Z508" i="1" s="1"/>
  <c r="BD499" i="1"/>
  <c r="Z499" i="1"/>
  <c r="BD468" i="1"/>
  <c r="Z468" i="1" s="1"/>
  <c r="AR453" i="1"/>
  <c r="AR425" i="1"/>
  <c r="BC425" i="1"/>
  <c r="Y425" i="1" s="1"/>
  <c r="I425" i="1"/>
  <c r="J607" i="1"/>
  <c r="BD585" i="1"/>
  <c r="Z585" i="1" s="1"/>
  <c r="BD579" i="1"/>
  <c r="Z579" i="1" s="1"/>
  <c r="BC569" i="1"/>
  <c r="Y569" i="1" s="1"/>
  <c r="I547" i="1"/>
  <c r="BC468" i="1"/>
  <c r="Y468" i="1" s="1"/>
  <c r="AS442" i="1"/>
  <c r="AR432" i="1"/>
  <c r="AR428" i="1"/>
  <c r="J409" i="1"/>
  <c r="AS409" i="1"/>
  <c r="BD591" i="1"/>
  <c r="Z591" i="1"/>
  <c r="AS565" i="1"/>
  <c r="BD544" i="1"/>
  <c r="Z544" i="1"/>
  <c r="AS526" i="1"/>
  <c r="AS531" i="1"/>
  <c r="AS508" i="1"/>
  <c r="BD439" i="1"/>
  <c r="Z439" i="1"/>
  <c r="AS559" i="1"/>
  <c r="AR553" i="1"/>
  <c r="I569" i="1"/>
  <c r="J519" i="1"/>
  <c r="J577" i="1"/>
  <c r="I544" i="1"/>
  <c r="J589" i="1"/>
  <c r="J583" i="1"/>
  <c r="I563" i="1"/>
  <c r="J559" i="1"/>
  <c r="I553" i="1"/>
  <c r="AR535" i="1"/>
  <c r="BC514" i="1"/>
  <c r="Y514" i="1" s="1"/>
  <c r="I431" i="1"/>
  <c r="AR420" i="1"/>
  <c r="AX420" i="1" s="1"/>
  <c r="BC420" i="1"/>
  <c r="Y420" i="1"/>
  <c r="AS400" i="1"/>
  <c r="AS368" i="1"/>
  <c r="AR350" i="1"/>
  <c r="AS328" i="1"/>
  <c r="BD297" i="1"/>
  <c r="Z297" i="1"/>
  <c r="AR263" i="1"/>
  <c r="AR244" i="1"/>
  <c r="AX244" i="1" s="1"/>
  <c r="BC233" i="1"/>
  <c r="Y233" i="1" s="1"/>
  <c r="M72" i="1"/>
  <c r="G13" i="2"/>
  <c r="BA73" i="1"/>
  <c r="AS355" i="1"/>
  <c r="AR303" i="1"/>
  <c r="I218" i="1"/>
  <c r="J400" i="1"/>
  <c r="AR386" i="1"/>
  <c r="AR352" i="1"/>
  <c r="I263" i="1"/>
  <c r="I244" i="1"/>
  <c r="AS196" i="1"/>
  <c r="J196" i="1"/>
  <c r="BC183" i="1"/>
  <c r="Y183" i="1"/>
  <c r="I163" i="1"/>
  <c r="AR163" i="1"/>
  <c r="AR64" i="1"/>
  <c r="I64" i="1"/>
  <c r="J370" i="1"/>
  <c r="J368" i="1"/>
  <c r="BC358" i="1"/>
  <c r="Y358" i="1"/>
  <c r="J337" i="1"/>
  <c r="BD313" i="1"/>
  <c r="Z313" i="1"/>
  <c r="BC282" i="1"/>
  <c r="Y282" i="1" s="1"/>
  <c r="BD250" i="1"/>
  <c r="Z250" i="1" s="1"/>
  <c r="AR233" i="1"/>
  <c r="J215" i="1"/>
  <c r="BD215" i="1"/>
  <c r="Z215" i="1"/>
  <c r="I208" i="1"/>
  <c r="AR208" i="1"/>
  <c r="AQ208" i="1"/>
  <c r="I210" i="1"/>
  <c r="J179" i="1"/>
  <c r="AS112" i="1"/>
  <c r="BD112" i="1"/>
  <c r="Z112" i="1"/>
  <c r="AR374" i="1"/>
  <c r="BD367" i="1"/>
  <c r="Z367" i="1"/>
  <c r="BC346" i="1"/>
  <c r="Y346" i="1"/>
  <c r="BD316" i="1"/>
  <c r="Z316" i="1" s="1"/>
  <c r="BC309" i="1"/>
  <c r="Y309" i="1" s="1"/>
  <c r="J308" i="1"/>
  <c r="BC269" i="1"/>
  <c r="Y269" i="1" s="1"/>
  <c r="J268" i="1"/>
  <c r="AR241" i="1"/>
  <c r="AR238" i="1"/>
  <c r="BC217" i="1"/>
  <c r="Y217" i="1" s="1"/>
  <c r="AR217" i="1"/>
  <c r="I217" i="1"/>
  <c r="AS397" i="1"/>
  <c r="J355" i="1"/>
  <c r="AS325" i="1"/>
  <c r="I229" i="1"/>
  <c r="BC122" i="1"/>
  <c r="Y122" i="1"/>
  <c r="AR118" i="1"/>
  <c r="BC118" i="1"/>
  <c r="Y118" i="1" s="1"/>
  <c r="I118" i="1"/>
  <c r="AR800" i="1"/>
  <c r="AS385" i="1"/>
  <c r="AR346" i="1"/>
  <c r="J274" i="1"/>
  <c r="AR269" i="1"/>
  <c r="J262" i="1"/>
  <c r="J250" i="1"/>
  <c r="I241" i="1"/>
  <c r="I238" i="1"/>
  <c r="BD373" i="1"/>
  <c r="Z373" i="1"/>
  <c r="BD319" i="1"/>
  <c r="Z319" i="1" s="1"/>
  <c r="AR309" i="1"/>
  <c r="AS307" i="1"/>
  <c r="BC303" i="1"/>
  <c r="Y303" i="1" s="1"/>
  <c r="BC400" i="1"/>
  <c r="Y400" i="1"/>
  <c r="BD328" i="1"/>
  <c r="Z328" i="1" s="1"/>
  <c r="AR232" i="1"/>
  <c r="BC199" i="1"/>
  <c r="Y199" i="1" s="1"/>
  <c r="BD196" i="1"/>
  <c r="Z196" i="1" s="1"/>
  <c r="AR158" i="1"/>
  <c r="BC158" i="1"/>
  <c r="Y158" i="1" s="1"/>
  <c r="AS373" i="1"/>
  <c r="AQ373" i="1" s="1"/>
  <c r="BC370" i="1"/>
  <c r="Y370" i="1"/>
  <c r="BC352" i="1"/>
  <c r="Y352" i="1" s="1"/>
  <c r="J341" i="1"/>
  <c r="BD337" i="1"/>
  <c r="Z337" i="1" s="1"/>
  <c r="BD279" i="1"/>
  <c r="Z279" i="1" s="1"/>
  <c r="I211" i="1"/>
  <c r="AR202" i="1"/>
  <c r="AQ202" i="1" s="1"/>
  <c r="BC202" i="1"/>
  <c r="Y202" i="1"/>
  <c r="I202" i="1"/>
  <c r="BC163" i="1"/>
  <c r="Y163" i="1" s="1"/>
  <c r="I37" i="1"/>
  <c r="AR37" i="1"/>
  <c r="I221" i="1"/>
  <c r="BC170" i="1"/>
  <c r="Y170" i="1"/>
  <c r="BC128" i="1"/>
  <c r="Y128" i="1"/>
  <c r="I71" i="1"/>
  <c r="AR60" i="1"/>
  <c r="BC48" i="1"/>
  <c r="AA48" i="1" s="1"/>
  <c r="BC42" i="1"/>
  <c r="AA42" i="1"/>
  <c r="BC182" i="1"/>
  <c r="Y182" i="1"/>
  <c r="AR170" i="1"/>
  <c r="AS151" i="1"/>
  <c r="BD135" i="1"/>
  <c r="Z135" i="1" s="1"/>
  <c r="AR134" i="1"/>
  <c r="AQ134" i="1"/>
  <c r="BD129" i="1"/>
  <c r="Z129" i="1"/>
  <c r="AR128" i="1"/>
  <c r="AX128" i="1" s="1"/>
  <c r="BD117" i="1"/>
  <c r="Z117" i="1" s="1"/>
  <c r="AR88" i="1"/>
  <c r="AQ88" i="1"/>
  <c r="BD63" i="1"/>
  <c r="X63" i="1"/>
  <c r="I62" i="1"/>
  <c r="AS31" i="1"/>
  <c r="AS28" i="1"/>
  <c r="AS19" i="1"/>
  <c r="BC13" i="1"/>
  <c r="AA13" i="1"/>
  <c r="I206" i="1"/>
  <c r="J187" i="1"/>
  <c r="BD185" i="1"/>
  <c r="Z185" i="1"/>
  <c r="BC129" i="1"/>
  <c r="Y129" i="1" s="1"/>
  <c r="AS104" i="1"/>
  <c r="AR93" i="1"/>
  <c r="I95" i="1"/>
  <c r="J46" i="1"/>
  <c r="J151" i="1"/>
  <c r="I123" i="1"/>
  <c r="I65" i="1"/>
  <c r="AR15" i="1"/>
  <c r="AR13" i="1"/>
  <c r="J175" i="1"/>
  <c r="AS135" i="1"/>
  <c r="AS117" i="1"/>
  <c r="AS111" i="1"/>
  <c r="AR54" i="1"/>
  <c r="BD47" i="1"/>
  <c r="AB47" i="1" s="1"/>
  <c r="BD41" i="1"/>
  <c r="AB41" i="1"/>
  <c r="BD217" i="1"/>
  <c r="Z217" i="1"/>
  <c r="J156" i="1"/>
  <c r="AR152" i="1"/>
  <c r="BD118" i="1"/>
  <c r="Z118" i="1" s="1"/>
  <c r="J102" i="1"/>
  <c r="AR78" i="1"/>
  <c r="I70" i="1"/>
  <c r="BC60" i="1"/>
  <c r="W60" i="1" s="1"/>
  <c r="AS41" i="1"/>
  <c r="AS217" i="1"/>
  <c r="J188" i="1"/>
  <c r="AR181" i="1"/>
  <c r="BC146" i="1"/>
  <c r="Y146" i="1" s="1"/>
  <c r="I129" i="1"/>
  <c r="BD123" i="1"/>
  <c r="Z123" i="1"/>
  <c r="BD95" i="1"/>
  <c r="Z95" i="1" s="1"/>
  <c r="AR94" i="1"/>
  <c r="I78" i="1"/>
  <c r="AR71" i="1"/>
  <c r="AQ71" i="1"/>
  <c r="J43" i="1"/>
  <c r="J34" i="1"/>
  <c r="BD23" i="1"/>
  <c r="AB23" i="1" s="1"/>
  <c r="J22" i="1"/>
  <c r="BD18" i="1"/>
  <c r="AB18" i="1" s="1"/>
  <c r="I200" i="1"/>
  <c r="J169" i="1"/>
  <c r="AR112" i="1"/>
  <c r="BC101" i="1"/>
  <c r="Y101" i="1" s="1"/>
  <c r="BC30" i="1"/>
  <c r="AA30" i="1"/>
  <c r="AR942" i="1"/>
  <c r="BD991" i="1"/>
  <c r="AB991" i="1" s="1"/>
  <c r="AS947" i="1"/>
  <c r="J947" i="1"/>
  <c r="BD841" i="1"/>
  <c r="AB841" i="1"/>
  <c r="BC779" i="1"/>
  <c r="AA779" i="1" s="1"/>
  <c r="AR779" i="1"/>
  <c r="I716" i="1"/>
  <c r="AR716" i="1"/>
  <c r="BC716" i="1"/>
  <c r="Y716" i="1" s="1"/>
  <c r="AS788" i="1"/>
  <c r="J685" i="1"/>
  <c r="AS685" i="1"/>
  <c r="BD685" i="1"/>
  <c r="Z685" i="1" s="1"/>
  <c r="AS830" i="1"/>
  <c r="AS824" i="1"/>
  <c r="AS813" i="1"/>
  <c r="BD807" i="1"/>
  <c r="AB807" i="1"/>
  <c r="AS699" i="1"/>
  <c r="AX699" i="1"/>
  <c r="AS691" i="1"/>
  <c r="AQ691" i="1" s="1"/>
  <c r="BD691" i="1"/>
  <c r="Z691" i="1" s="1"/>
  <c r="AS905" i="1"/>
  <c r="J866" i="1"/>
  <c r="AR659" i="1"/>
  <c r="I890" i="1"/>
  <c r="BD866" i="1"/>
  <c r="AB866" i="1" s="1"/>
  <c r="I866" i="1"/>
  <c r="J813" i="1"/>
  <c r="BD789" i="1"/>
  <c r="AB789" i="1"/>
  <c r="J789" i="1"/>
  <c r="I773" i="1"/>
  <c r="AS794" i="1"/>
  <c r="AS666" i="1"/>
  <c r="J652" i="1"/>
  <c r="AS652" i="1"/>
  <c r="BD652" i="1"/>
  <c r="Z652" i="1"/>
  <c r="I860" i="1"/>
  <c r="I848" i="1"/>
  <c r="AA813" i="1"/>
  <c r="BD795" i="1"/>
  <c r="AB795" i="1" s="1"/>
  <c r="J795" i="1"/>
  <c r="BA723" i="1"/>
  <c r="BD646" i="1"/>
  <c r="Z646" i="1" s="1"/>
  <c r="J646" i="1"/>
  <c r="AS718" i="1"/>
  <c r="AS704" i="1"/>
  <c r="AS671" i="1"/>
  <c r="AS628" i="1"/>
  <c r="BD628" i="1"/>
  <c r="Z628" i="1"/>
  <c r="AS622" i="1"/>
  <c r="BD622" i="1"/>
  <c r="Z622" i="1"/>
  <c r="J622" i="1"/>
  <c r="J658" i="1"/>
  <c r="AS658" i="1"/>
  <c r="AS616" i="1"/>
  <c r="BD616" i="1"/>
  <c r="Z616" i="1" s="1"/>
  <c r="J616" i="1"/>
  <c r="I740" i="1"/>
  <c r="I739" i="1" s="1"/>
  <c r="D41" i="2" s="1"/>
  <c r="I705" i="1"/>
  <c r="J671" i="1"/>
  <c r="AS640" i="1"/>
  <c r="BD640" i="1"/>
  <c r="Z640" i="1"/>
  <c r="J640" i="1"/>
  <c r="BC740" i="1"/>
  <c r="BC732" i="1"/>
  <c r="W732" i="1" s="1"/>
  <c r="J718" i="1"/>
  <c r="J711" i="1"/>
  <c r="AS610" i="1"/>
  <c r="BD610" i="1"/>
  <c r="Z610" i="1"/>
  <c r="J610" i="1"/>
  <c r="BC672" i="1"/>
  <c r="Y672" i="1" s="1"/>
  <c r="J720" i="1"/>
  <c r="AS634" i="1"/>
  <c r="BD634" i="1"/>
  <c r="Z634" i="1"/>
  <c r="J634" i="1"/>
  <c r="BD658" i="1"/>
  <c r="Z658" i="1" s="1"/>
  <c r="AS592" i="1"/>
  <c r="BD592" i="1"/>
  <c r="Z592" i="1"/>
  <c r="J592" i="1"/>
  <c r="AS586" i="1"/>
  <c r="I536" i="1"/>
  <c r="BC642" i="1"/>
  <c r="Y642" i="1" s="1"/>
  <c r="BC636" i="1"/>
  <c r="Y636" i="1"/>
  <c r="BC630" i="1"/>
  <c r="Y630" i="1" s="1"/>
  <c r="BC624" i="1"/>
  <c r="Y624" i="1"/>
  <c r="BC618" i="1"/>
  <c r="Y618" i="1" s="1"/>
  <c r="BC612" i="1"/>
  <c r="Y612" i="1"/>
  <c r="BC606" i="1"/>
  <c r="Y606" i="1" s="1"/>
  <c r="AS653" i="1"/>
  <c r="I623" i="1"/>
  <c r="I617" i="1"/>
  <c r="I611" i="1"/>
  <c r="I605" i="1"/>
  <c r="AR653" i="1"/>
  <c r="BC623" i="1"/>
  <c r="Y623" i="1" s="1"/>
  <c r="BC617" i="1"/>
  <c r="Y617" i="1"/>
  <c r="BC611" i="1"/>
  <c r="Y611" i="1" s="1"/>
  <c r="AS607" i="1"/>
  <c r="BC581" i="1"/>
  <c r="Y581" i="1" s="1"/>
  <c r="J551" i="1"/>
  <c r="AR492" i="1"/>
  <c r="I492" i="1"/>
  <c r="I646" i="1"/>
  <c r="I640" i="1"/>
  <c r="I634" i="1"/>
  <c r="I574" i="1"/>
  <c r="BC646" i="1"/>
  <c r="Y646" i="1" s="1"/>
  <c r="BC640" i="1"/>
  <c r="Y640" i="1"/>
  <c r="BC580" i="1"/>
  <c r="Y580" i="1" s="1"/>
  <c r="BC574" i="1"/>
  <c r="Y574" i="1"/>
  <c r="BC552" i="1"/>
  <c r="Y552" i="1" s="1"/>
  <c r="AS539" i="1"/>
  <c r="BD539" i="1"/>
  <c r="Z539" i="1" s="1"/>
  <c r="J539" i="1"/>
  <c r="AR474" i="1"/>
  <c r="BC474" i="1"/>
  <c r="Y474" i="1" s="1"/>
  <c r="I474" i="1"/>
  <c r="BC521" i="1"/>
  <c r="Y521" i="1"/>
  <c r="BC515" i="1"/>
  <c r="Y515" i="1" s="1"/>
  <c r="BC509" i="1"/>
  <c r="Y509" i="1"/>
  <c r="J492" i="1"/>
  <c r="AS492" i="1"/>
  <c r="AR443" i="1"/>
  <c r="BC443" i="1"/>
  <c r="Y443" i="1" s="1"/>
  <c r="I443" i="1"/>
  <c r="AR565" i="1"/>
  <c r="AS497" i="1"/>
  <c r="AR489" i="1"/>
  <c r="I468" i="1"/>
  <c r="AR403" i="1"/>
  <c r="BC403" i="1"/>
  <c r="Y403" i="1" s="1"/>
  <c r="I403" i="1"/>
  <c r="I462" i="1"/>
  <c r="AR533" i="1"/>
  <c r="AR515" i="1"/>
  <c r="AR449" i="1"/>
  <c r="I504" i="1"/>
  <c r="I511" i="1"/>
  <c r="I505" i="1"/>
  <c r="BD492" i="1"/>
  <c r="Z492" i="1" s="1"/>
  <c r="AS486" i="1"/>
  <c r="I486" i="1"/>
  <c r="I460" i="1"/>
  <c r="BD418" i="1"/>
  <c r="Z418" i="1"/>
  <c r="J363" i="1"/>
  <c r="AS474" i="1"/>
  <c r="AS468" i="1"/>
  <c r="AS443" i="1"/>
  <c r="AS437" i="1"/>
  <c r="J428" i="1"/>
  <c r="AS422" i="1"/>
  <c r="BD351" i="1"/>
  <c r="Z351" i="1" s="1"/>
  <c r="I453" i="1"/>
  <c r="BD428" i="1"/>
  <c r="Z428" i="1"/>
  <c r="I428" i="1"/>
  <c r="J411" i="1"/>
  <c r="AR391" i="1"/>
  <c r="BC391" i="1"/>
  <c r="Y391" i="1" s="1"/>
  <c r="I391" i="1"/>
  <c r="J405" i="1"/>
  <c r="AS405" i="1"/>
  <c r="AQ405" i="1" s="1"/>
  <c r="BD405" i="1"/>
  <c r="Z405" i="1"/>
  <c r="BC325" i="1"/>
  <c r="Y325" i="1" s="1"/>
  <c r="I325" i="1"/>
  <c r="AR325" i="1"/>
  <c r="AQ325" i="1"/>
  <c r="AS357" i="1"/>
  <c r="BD357" i="1"/>
  <c r="Z357" i="1"/>
  <c r="J357" i="1"/>
  <c r="I432" i="1"/>
  <c r="I420" i="1"/>
  <c r="AR417" i="1"/>
  <c r="AX417" i="1"/>
  <c r="I417" i="1"/>
  <c r="AR397" i="1"/>
  <c r="BC397" i="1"/>
  <c r="Y397" i="1"/>
  <c r="I397" i="1"/>
  <c r="AR409" i="1"/>
  <c r="AX409" i="1" s="1"/>
  <c r="BC409" i="1"/>
  <c r="Y409" i="1" s="1"/>
  <c r="I331" i="1"/>
  <c r="BC319" i="1"/>
  <c r="Y319" i="1"/>
  <c r="I404" i="1"/>
  <c r="I398" i="1"/>
  <c r="I386" i="1"/>
  <c r="I380" i="1"/>
  <c r="I374" i="1"/>
  <c r="BD290" i="1"/>
  <c r="Z290" i="1"/>
  <c r="J290" i="1"/>
  <c r="AS370" i="1"/>
  <c r="BC340" i="1"/>
  <c r="Y340" i="1" s="1"/>
  <c r="AS243" i="1"/>
  <c r="AQ243" i="1" s="1"/>
  <c r="BD243" i="1"/>
  <c r="Z243" i="1"/>
  <c r="J243" i="1"/>
  <c r="AR326" i="1"/>
  <c r="BC326" i="1"/>
  <c r="Y326" i="1" s="1"/>
  <c r="I326" i="1"/>
  <c r="AR286" i="1"/>
  <c r="BC286" i="1"/>
  <c r="Y286" i="1"/>
  <c r="I286" i="1"/>
  <c r="BD283" i="1"/>
  <c r="Z283" i="1" s="1"/>
  <c r="I350" i="1"/>
  <c r="BD296" i="1"/>
  <c r="Z296" i="1" s="1"/>
  <c r="J296" i="1"/>
  <c r="AR331" i="1"/>
  <c r="AX331" i="1"/>
  <c r="AS273" i="1"/>
  <c r="BD273" i="1"/>
  <c r="Z273" i="1" s="1"/>
  <c r="J273" i="1"/>
  <c r="BD346" i="1"/>
  <c r="Z346" i="1" s="1"/>
  <c r="BC344" i="1"/>
  <c r="Y344" i="1"/>
  <c r="J261" i="1"/>
  <c r="BC341" i="1"/>
  <c r="Y341" i="1" s="1"/>
  <c r="BC316" i="1"/>
  <c r="Y316" i="1" s="1"/>
  <c r="I316" i="1"/>
  <c r="J263" i="1"/>
  <c r="AS263" i="1"/>
  <c r="AQ263" i="1" s="1"/>
  <c r="AS279" i="1"/>
  <c r="I314" i="1"/>
  <c r="I308" i="1"/>
  <c r="I302" i="1"/>
  <c r="BC314" i="1"/>
  <c r="Y314" i="1" s="1"/>
  <c r="BC308" i="1"/>
  <c r="Y308" i="1"/>
  <c r="BC296" i="1"/>
  <c r="Y296" i="1" s="1"/>
  <c r="AS272" i="1"/>
  <c r="AX272" i="1"/>
  <c r="BD263" i="1"/>
  <c r="Z263" i="1" s="1"/>
  <c r="AR207" i="1"/>
  <c r="AX207" i="1"/>
  <c r="BC207" i="1"/>
  <c r="Y207" i="1" s="1"/>
  <c r="I207" i="1"/>
  <c r="BD266" i="1"/>
  <c r="Z266" i="1" s="1"/>
  <c r="J266" i="1"/>
  <c r="AR180" i="1"/>
  <c r="BC180" i="1"/>
  <c r="Y180" i="1" s="1"/>
  <c r="I180" i="1"/>
  <c r="AS260" i="1"/>
  <c r="BD260" i="1"/>
  <c r="Z260" i="1" s="1"/>
  <c r="BA195" i="1"/>
  <c r="AS249" i="1"/>
  <c r="BD249" i="1"/>
  <c r="Z249" i="1" s="1"/>
  <c r="J249" i="1"/>
  <c r="BD230" i="1"/>
  <c r="Z230" i="1" s="1"/>
  <c r="AR195" i="1"/>
  <c r="BC195" i="1"/>
  <c r="Y195" i="1"/>
  <c r="I195" i="1"/>
  <c r="AR113" i="1"/>
  <c r="BC113" i="1"/>
  <c r="Y113" i="1"/>
  <c r="I113" i="1"/>
  <c r="AR107" i="1"/>
  <c r="AQ107" i="1"/>
  <c r="BC107" i="1"/>
  <c r="Y107" i="1" s="1"/>
  <c r="I107" i="1"/>
  <c r="AS234" i="1"/>
  <c r="AX234" i="1"/>
  <c r="AS222" i="1"/>
  <c r="AS210" i="1"/>
  <c r="J195" i="1"/>
  <c r="AS192" i="1"/>
  <c r="BD195" i="1"/>
  <c r="Z195" i="1" s="1"/>
  <c r="BD188" i="1"/>
  <c r="Z188" i="1"/>
  <c r="BC187" i="1"/>
  <c r="Y187" i="1" s="1"/>
  <c r="AR168" i="1"/>
  <c r="BC168" i="1"/>
  <c r="Y168" i="1" s="1"/>
  <c r="AR119" i="1"/>
  <c r="BC119" i="1"/>
  <c r="Y119" i="1"/>
  <c r="I119" i="1"/>
  <c r="AS251" i="1"/>
  <c r="AS245" i="1"/>
  <c r="AS239" i="1"/>
  <c r="AS227" i="1"/>
  <c r="AS215" i="1"/>
  <c r="J194" i="1"/>
  <c r="J140" i="1"/>
  <c r="I106" i="1"/>
  <c r="AR106" i="1"/>
  <c r="BC106" i="1"/>
  <c r="Y106" i="1"/>
  <c r="BD200" i="1"/>
  <c r="Z200" i="1" s="1"/>
  <c r="BD194" i="1"/>
  <c r="Z194" i="1"/>
  <c r="I199" i="1"/>
  <c r="AR174" i="1"/>
  <c r="BC174" i="1"/>
  <c r="Y174" i="1"/>
  <c r="I174" i="1"/>
  <c r="AR162" i="1"/>
  <c r="AQ162" i="1" s="1"/>
  <c r="J234" i="1"/>
  <c r="J210" i="1"/>
  <c r="BD176" i="1"/>
  <c r="Z176" i="1"/>
  <c r="AR185" i="1"/>
  <c r="AQ185" i="1" s="1"/>
  <c r="I185" i="1"/>
  <c r="I105" i="1"/>
  <c r="AR105" i="1"/>
  <c r="BC105" i="1"/>
  <c r="Y105" i="1" s="1"/>
  <c r="BD164" i="1"/>
  <c r="Z164" i="1"/>
  <c r="BD158" i="1"/>
  <c r="Z158" i="1" s="1"/>
  <c r="BD152" i="1"/>
  <c r="Z152" i="1"/>
  <c r="I146" i="1"/>
  <c r="AS139" i="1"/>
  <c r="BD121" i="1"/>
  <c r="Z121" i="1"/>
  <c r="BD181" i="1"/>
  <c r="Z181" i="1" s="1"/>
  <c r="BD175" i="1"/>
  <c r="Z175" i="1"/>
  <c r="BD169" i="1"/>
  <c r="Z169" i="1" s="1"/>
  <c r="BD163" i="1"/>
  <c r="Z163" i="1"/>
  <c r="AS93" i="1"/>
  <c r="J93" i="1"/>
  <c r="AS67" i="1"/>
  <c r="J67" i="1"/>
  <c r="BC38" i="1"/>
  <c r="AA38" i="1" s="1"/>
  <c r="I38" i="1"/>
  <c r="AS128" i="1"/>
  <c r="AS122" i="1"/>
  <c r="AS116" i="1"/>
  <c r="AS110" i="1"/>
  <c r="J106" i="1"/>
  <c r="I100" i="1"/>
  <c r="AR100" i="1"/>
  <c r="I93" i="1"/>
  <c r="AR80" i="1"/>
  <c r="BD51" i="1"/>
  <c r="AB51" i="1" s="1"/>
  <c r="AS51" i="1"/>
  <c r="BD168" i="1"/>
  <c r="Z168" i="1" s="1"/>
  <c r="BD156" i="1"/>
  <c r="Z156" i="1"/>
  <c r="AR147" i="1"/>
  <c r="AS87" i="1"/>
  <c r="J87" i="1"/>
  <c r="AS80" i="1"/>
  <c r="AS158" i="1"/>
  <c r="AS152" i="1"/>
  <c r="AX152" i="1" s="1"/>
  <c r="AS127" i="1"/>
  <c r="J118" i="1"/>
  <c r="BC55" i="1"/>
  <c r="W55" i="1" s="1"/>
  <c r="AR55" i="1"/>
  <c r="I55" i="1"/>
  <c r="J139" i="1"/>
  <c r="I80" i="1"/>
  <c r="AR46" i="1"/>
  <c r="I46" i="1"/>
  <c r="BD71" i="1"/>
  <c r="X71" i="1" s="1"/>
  <c r="J128" i="1"/>
  <c r="J122" i="1"/>
  <c r="J116" i="1"/>
  <c r="J110" i="1"/>
  <c r="AS106" i="1"/>
  <c r="BD85" i="1"/>
  <c r="Z85" i="1" s="1"/>
  <c r="J85" i="1"/>
  <c r="BD65" i="1"/>
  <c r="X65" i="1"/>
  <c r="J65" i="1"/>
  <c r="BD59" i="1"/>
  <c r="X59" i="1"/>
  <c r="J59" i="1"/>
  <c r="BD45" i="1"/>
  <c r="AB45" i="1" s="1"/>
  <c r="AS45" i="1"/>
  <c r="AX45" i="1"/>
  <c r="AR34" i="1"/>
  <c r="I34" i="1"/>
  <c r="BD93" i="1"/>
  <c r="Z93" i="1"/>
  <c r="BD67" i="1"/>
  <c r="X67" i="1" s="1"/>
  <c r="AR52" i="1"/>
  <c r="I52" i="1"/>
  <c r="J45" i="1"/>
  <c r="BC32" i="1"/>
  <c r="AA32" i="1"/>
  <c r="I32" i="1"/>
  <c r="J36" i="1"/>
  <c r="J89" i="1"/>
  <c r="AS86" i="1"/>
  <c r="AS79" i="1"/>
  <c r="J69" i="1"/>
  <c r="J63" i="1"/>
  <c r="AS60" i="1"/>
  <c r="AS54" i="1"/>
  <c r="AR51" i="1"/>
  <c r="I48" i="1"/>
  <c r="I42" i="1"/>
  <c r="I36" i="1"/>
  <c r="I30" i="1"/>
  <c r="AR21" i="1"/>
  <c r="I18" i="1"/>
  <c r="BC47" i="1"/>
  <c r="AA47" i="1" s="1"/>
  <c r="BC41" i="1"/>
  <c r="AA41" i="1" s="1"/>
  <c r="AS13" i="1"/>
  <c r="AS77" i="1"/>
  <c r="J79" i="1"/>
  <c r="J66" i="1"/>
  <c r="J60" i="1"/>
  <c r="J54" i="1"/>
  <c r="I21" i="1"/>
  <c r="I15" i="1"/>
  <c r="J13" i="1"/>
  <c r="J708" i="1"/>
  <c r="AR849" i="1"/>
  <c r="AQ42" i="1"/>
  <c r="AS709" i="1"/>
  <c r="AG764" i="1"/>
  <c r="AP763" i="1" s="1"/>
  <c r="BD709" i="1"/>
  <c r="Z709" i="1"/>
  <c r="BD777" i="1"/>
  <c r="AB777" i="1" s="1"/>
  <c r="AQ26" i="1"/>
  <c r="I82" i="1"/>
  <c r="I81" i="1" s="1"/>
  <c r="D15" i="2" s="1"/>
  <c r="BD835" i="1"/>
  <c r="AB835" i="1"/>
  <c r="AS37" i="1"/>
  <c r="AS835" i="1"/>
  <c r="J183" i="1"/>
  <c r="AX26" i="1"/>
  <c r="BD183" i="1"/>
  <c r="Z183" i="1" s="1"/>
  <c r="I830" i="1"/>
  <c r="J31" i="1"/>
  <c r="J37" i="1"/>
  <c r="AR712" i="1"/>
  <c r="AR120" i="1"/>
  <c r="BD177" i="1"/>
  <c r="Z177" i="1" s="1"/>
  <c r="BD130" i="1"/>
  <c r="Z130" i="1" s="1"/>
  <c r="AS712" i="1"/>
  <c r="AQ712" i="1" s="1"/>
  <c r="I125" i="1"/>
  <c r="AS14" i="1"/>
  <c r="J130" i="1"/>
  <c r="I26" i="1"/>
  <c r="BC125" i="1"/>
  <c r="Y125" i="1" s="1"/>
  <c r="BD14" i="1"/>
  <c r="AB14" i="1" s="1"/>
  <c r="BC26" i="1"/>
  <c r="AA26" i="1"/>
  <c r="AR149" i="1"/>
  <c r="AQ149" i="1" s="1"/>
  <c r="BD171" i="1"/>
  <c r="Z171" i="1" s="1"/>
  <c r="J667" i="1"/>
  <c r="AS171" i="1"/>
  <c r="I889" i="1"/>
  <c r="BC712" i="1"/>
  <c r="Y712" i="1"/>
  <c r="AR43" i="1"/>
  <c r="BD712" i="1"/>
  <c r="Z712" i="1" s="1"/>
  <c r="I149" i="1"/>
  <c r="AX385" i="1"/>
  <c r="BC385" i="1"/>
  <c r="Y385" i="1" s="1"/>
  <c r="BC800" i="1"/>
  <c r="AA800" i="1"/>
  <c r="AR183" i="1"/>
  <c r="BC20" i="1"/>
  <c r="AA20" i="1" s="1"/>
  <c r="J107" i="1"/>
  <c r="AS312" i="1"/>
  <c r="AS148" i="1"/>
  <c r="BD148" i="1"/>
  <c r="Z148" i="1"/>
  <c r="AR154" i="1"/>
  <c r="I154" i="1"/>
  <c r="AS124" i="1"/>
  <c r="BD124" i="1"/>
  <c r="Z124" i="1" s="1"/>
  <c r="J55" i="1"/>
  <c r="BC177" i="1"/>
  <c r="Y177" i="1" s="1"/>
  <c r="I20" i="1"/>
  <c r="AS55" i="1"/>
  <c r="I14" i="1"/>
  <c r="BC360" i="1"/>
  <c r="Y360" i="1" s="1"/>
  <c r="J73" i="1"/>
  <c r="J72" i="1"/>
  <c r="E13" i="2" s="1"/>
  <c r="AS66" i="1"/>
  <c r="BC14" i="1"/>
  <c r="AA14" i="1" s="1"/>
  <c r="J312" i="1"/>
  <c r="J80" i="1"/>
  <c r="I656" i="1"/>
  <c r="BD119" i="1"/>
  <c r="Z119" i="1"/>
  <c r="J762" i="1"/>
  <c r="J761" i="1" s="1"/>
  <c r="E52" i="2" s="1"/>
  <c r="AR22" i="1"/>
  <c r="J92" i="1"/>
  <c r="AS78" i="1"/>
  <c r="AX78" i="1"/>
  <c r="AS146" i="1"/>
  <c r="AQ146" i="1" s="1"/>
  <c r="BD162" i="1"/>
  <c r="Z162" i="1" s="1"/>
  <c r="BD78" i="1"/>
  <c r="X78" i="1" s="1"/>
  <c r="BC354" i="1"/>
  <c r="Y354" i="1"/>
  <c r="I481" i="1"/>
  <c r="I385" i="1"/>
  <c r="J447" i="1"/>
  <c r="AR595" i="1"/>
  <c r="BA764" i="1"/>
  <c r="J770" i="1"/>
  <c r="AR59" i="1"/>
  <c r="AQ59" i="1"/>
  <c r="AS320" i="1"/>
  <c r="I473" i="1"/>
  <c r="AS432" i="1"/>
  <c r="K745" i="1"/>
  <c r="F44" i="2"/>
  <c r="I44" i="2" s="1"/>
  <c r="AS746" i="1"/>
  <c r="AX746" i="1"/>
  <c r="AR39" i="1"/>
  <c r="J99" i="1"/>
  <c r="BD127" i="1"/>
  <c r="Z127" i="1" s="1"/>
  <c r="BD261" i="1"/>
  <c r="Z261" i="1" s="1"/>
  <c r="J344" i="1"/>
  <c r="I369" i="1"/>
  <c r="AR601" i="1"/>
  <c r="I540" i="1"/>
  <c r="BC625" i="1"/>
  <c r="Y625" i="1" s="1"/>
  <c r="BD808" i="1"/>
  <c r="AB808" i="1" s="1"/>
  <c r="BC18" i="1"/>
  <c r="AA18" i="1"/>
  <c r="AR211" i="1"/>
  <c r="I633" i="1"/>
  <c r="K761" i="1"/>
  <c r="F52" i="2" s="1"/>
  <c r="I52" i="2" s="1"/>
  <c r="AS762" i="1"/>
  <c r="AS92" i="1"/>
  <c r="AS99" i="1"/>
  <c r="I186" i="1"/>
  <c r="I279" i="1"/>
  <c r="I295" i="1"/>
  <c r="AR373" i="1"/>
  <c r="I410" i="1"/>
  <c r="J549" i="1"/>
  <c r="AR607" i="1"/>
  <c r="BC540" i="1"/>
  <c r="Y540" i="1" s="1"/>
  <c r="J808" i="1"/>
  <c r="BC140" i="1"/>
  <c r="Y140" i="1"/>
  <c r="AS300" i="1"/>
  <c r="J415" i="1"/>
  <c r="AS344" i="1"/>
  <c r="J455" i="1"/>
  <c r="AS455" i="1"/>
  <c r="AR633" i="1"/>
  <c r="BD772" i="1"/>
  <c r="AB772" i="1"/>
  <c r="J738" i="1"/>
  <c r="J737" i="1" s="1"/>
  <c r="E40" i="2"/>
  <c r="AS70" i="1"/>
  <c r="AQ70" i="1" s="1"/>
  <c r="BC186" i="1"/>
  <c r="Y186" i="1" s="1"/>
  <c r="J134" i="1"/>
  <c r="I362" i="1"/>
  <c r="I381" i="1"/>
  <c r="BC410" i="1"/>
  <c r="Y410" i="1"/>
  <c r="AR613" i="1"/>
  <c r="AR960" i="1"/>
  <c r="AS46" i="1"/>
  <c r="I194" i="1"/>
  <c r="BD350" i="1"/>
  <c r="Z350" i="1" s="1"/>
  <c r="AS180" i="1"/>
  <c r="AQ180" i="1" s="1"/>
  <c r="AR573" i="1"/>
  <c r="BC658" i="1"/>
  <c r="Y658" i="1" s="1"/>
  <c r="AS738" i="1"/>
  <c r="J754" i="1"/>
  <c r="J753" i="1" s="1"/>
  <c r="E48" i="2" s="1"/>
  <c r="BC243" i="1"/>
  <c r="Y243" i="1" s="1"/>
  <c r="BD134" i="1"/>
  <c r="Z134" i="1" s="1"/>
  <c r="I387" i="1"/>
  <c r="AR469" i="1"/>
  <c r="BD567" i="1"/>
  <c r="Z567" i="1"/>
  <c r="AR65" i="1"/>
  <c r="AX65" i="1" s="1"/>
  <c r="BD70" i="1"/>
  <c r="X70" i="1" s="1"/>
  <c r="AR194" i="1"/>
  <c r="AQ194" i="1" s="1"/>
  <c r="AR485" i="1"/>
  <c r="AX485" i="1"/>
  <c r="AR442" i="1"/>
  <c r="AR473" i="1"/>
  <c r="AR475" i="1"/>
  <c r="AR625" i="1"/>
  <c r="AX625" i="1"/>
  <c r="AS567" i="1"/>
  <c r="BC699" i="1"/>
  <c r="Y699" i="1"/>
  <c r="J854" i="1"/>
  <c r="J783" i="1"/>
  <c r="BC369" i="1"/>
  <c r="Y369" i="1" s="1"/>
  <c r="AR362" i="1"/>
  <c r="BC485" i="1"/>
  <c r="Y485" i="1" s="1"/>
  <c r="AR645" i="1"/>
  <c r="BC645" i="1"/>
  <c r="Y645" i="1" s="1"/>
  <c r="BD146" i="1"/>
  <c r="Z146" i="1" s="1"/>
  <c r="AR481" i="1"/>
  <c r="AR521" i="1"/>
  <c r="AQ521" i="1" s="1"/>
  <c r="BD507" i="1"/>
  <c r="Z507" i="1" s="1"/>
  <c r="AS783" i="1"/>
  <c r="AS199" i="1"/>
  <c r="BD509" i="1"/>
  <c r="Z509" i="1"/>
  <c r="BD496" i="1"/>
  <c r="Z496" i="1" s="1"/>
  <c r="AR354" i="1"/>
  <c r="I444" i="1"/>
  <c r="I367" i="1"/>
  <c r="AR527" i="1"/>
  <c r="BC589" i="1"/>
  <c r="Y589" i="1"/>
  <c r="BC631" i="1"/>
  <c r="Y631" i="1" s="1"/>
  <c r="BC705" i="1"/>
  <c r="Y705" i="1"/>
  <c r="I699" i="1"/>
  <c r="I59" i="1"/>
  <c r="AS40" i="1"/>
  <c r="J199" i="1"/>
  <c r="BC285" i="1"/>
  <c r="Y285" i="1" s="1"/>
  <c r="BD300" i="1"/>
  <c r="Z300" i="1" s="1"/>
  <c r="I239" i="1"/>
  <c r="AR504" i="1"/>
  <c r="BC814" i="1"/>
  <c r="AA814" i="1"/>
  <c r="AR631" i="1"/>
  <c r="BC595" i="1"/>
  <c r="Y595" i="1"/>
  <c r="J402" i="1"/>
  <c r="I469" i="1"/>
  <c r="AS549" i="1"/>
  <c r="BC527" i="1"/>
  <c r="Y527" i="1"/>
  <c r="BC601" i="1"/>
  <c r="Y601" i="1" s="1"/>
  <c r="BC713" i="1"/>
  <c r="Y713" i="1" s="1"/>
  <c r="I713" i="1"/>
  <c r="BD770" i="1"/>
  <c r="AB770" i="1" s="1"/>
  <c r="AR814" i="1"/>
  <c r="AS350" i="1"/>
  <c r="I285" i="1"/>
  <c r="AS415" i="1"/>
  <c r="BD746" i="1"/>
  <c r="I531" i="1"/>
  <c r="J86" i="1"/>
  <c r="I140" i="1"/>
  <c r="I475" i="1"/>
  <c r="I562" i="1"/>
  <c r="BC533" i="1"/>
  <c r="Y533" i="1"/>
  <c r="AR589" i="1"/>
  <c r="AQ589" i="1" s="1"/>
  <c r="BC607" i="1"/>
  <c r="Y607" i="1" s="1"/>
  <c r="AR860" i="1"/>
  <c r="J168" i="1"/>
  <c r="J507" i="1"/>
  <c r="I627" i="1"/>
  <c r="I789" i="1"/>
  <c r="I1009" i="1"/>
  <c r="I1033" i="1"/>
  <c r="AQ69" i="1"/>
  <c r="AR1027" i="1"/>
  <c r="I836" i="1"/>
  <c r="AR1033" i="1"/>
  <c r="AR1015" i="1"/>
  <c r="AR836" i="1"/>
  <c r="AS807" i="1"/>
  <c r="J830" i="1"/>
  <c r="AS1044" i="1"/>
  <c r="BD518" i="1"/>
  <c r="Z518" i="1" s="1"/>
  <c r="I882" i="1"/>
  <c r="AR738" i="1"/>
  <c r="AX738" i="1" s="1"/>
  <c r="AS524" i="1"/>
  <c r="AS288" i="1"/>
  <c r="AR259" i="1"/>
  <c r="J225" i="1"/>
  <c r="AS854" i="1"/>
  <c r="I754" i="1"/>
  <c r="I753" i="1"/>
  <c r="D48" i="2" s="1"/>
  <c r="J840" i="1"/>
  <c r="J460" i="1"/>
  <c r="I746" i="1"/>
  <c r="I745" i="1" s="1"/>
  <c r="D44" i="2" s="1"/>
  <c r="BD924" i="1"/>
  <c r="AB924" i="1"/>
  <c r="BC746" i="1"/>
  <c r="J378" i="1"/>
  <c r="J924" i="1"/>
  <c r="BD15" i="1"/>
  <c r="AB15" i="1" s="1"/>
  <c r="J936" i="1"/>
  <c r="I762" i="1"/>
  <c r="I761" i="1" s="1"/>
  <c r="D52" i="2" s="1"/>
  <c r="AR103" i="1"/>
  <c r="AR983" i="1"/>
  <c r="BC820" i="1"/>
  <c r="AA820" i="1" s="1"/>
  <c r="AR762" i="1"/>
  <c r="I84" i="1"/>
  <c r="J413" i="1"/>
  <c r="AR820" i="1"/>
  <c r="AQ820" i="1" s="1"/>
  <c r="I738" i="1"/>
  <c r="I737" i="1"/>
  <c r="D40" i="2" s="1"/>
  <c r="J942" i="1"/>
  <c r="AR330" i="1"/>
  <c r="I342" i="1"/>
  <c r="AS276" i="1"/>
  <c r="AR115" i="1"/>
  <c r="I33" i="1"/>
  <c r="J131" i="1"/>
  <c r="J276" i="1"/>
  <c r="AR396" i="1"/>
  <c r="BD413" i="1"/>
  <c r="Z413" i="1"/>
  <c r="BC342" i="1"/>
  <c r="Y342" i="1" s="1"/>
  <c r="BD460" i="1"/>
  <c r="Z460" i="1"/>
  <c r="J472" i="1"/>
  <c r="AS518" i="1"/>
  <c r="BD600" i="1"/>
  <c r="Z600" i="1"/>
  <c r="AR455" i="1"/>
  <c r="AS786" i="1"/>
  <c r="AS96" i="1"/>
  <c r="J390" i="1"/>
  <c r="BD472" i="1"/>
  <c r="Z472" i="1" s="1"/>
  <c r="BD561" i="1"/>
  <c r="Z561" i="1" s="1"/>
  <c r="BD797" i="1"/>
  <c r="AB797" i="1" s="1"/>
  <c r="BC396" i="1"/>
  <c r="Y396" i="1"/>
  <c r="BD630" i="1"/>
  <c r="Z630" i="1" s="1"/>
  <c r="BD225" i="1"/>
  <c r="Z225" i="1"/>
  <c r="AS561" i="1"/>
  <c r="BA760" i="1"/>
  <c r="BC846" i="1"/>
  <c r="AA846" i="1"/>
  <c r="AS407" i="1"/>
  <c r="AX407" i="1" s="1"/>
  <c r="BC300" i="1"/>
  <c r="Y300" i="1" s="1"/>
  <c r="AS490" i="1"/>
  <c r="AQ490" i="1" s="1"/>
  <c r="BD857" i="1"/>
  <c r="AB857" i="1"/>
  <c r="BD501" i="1"/>
  <c r="Z501" i="1" s="1"/>
  <c r="J441" i="1"/>
  <c r="AS484" i="1"/>
  <c r="AX484" i="1" s="1"/>
  <c r="J851" i="1"/>
  <c r="AS172" i="1"/>
  <c r="BC16" i="1"/>
  <c r="AA16" i="1" s="1"/>
  <c r="I447" i="1"/>
  <c r="BD441" i="1"/>
  <c r="Z441" i="1"/>
  <c r="I513" i="1"/>
  <c r="J484" i="1"/>
  <c r="J172" i="1"/>
  <c r="I198" i="1"/>
  <c r="AR419" i="1"/>
  <c r="BD851" i="1"/>
  <c r="AB851" i="1"/>
  <c r="AR336" i="1"/>
  <c r="BC447" i="1"/>
  <c r="Y447" i="1" s="1"/>
  <c r="J478" i="1"/>
  <c r="I864" i="1"/>
  <c r="J166" i="1"/>
  <c r="AR184" i="1"/>
  <c r="BC330" i="1"/>
  <c r="Y330" i="1" s="1"/>
  <c r="AS76" i="1"/>
  <c r="AS372" i="1"/>
  <c r="BC198" i="1"/>
  <c r="Y198" i="1"/>
  <c r="BC424" i="1"/>
  <c r="Y424" i="1" s="1"/>
  <c r="I419" i="1"/>
  <c r="BD594" i="1"/>
  <c r="Z594" i="1" s="1"/>
  <c r="J242" i="1"/>
  <c r="I336" i="1"/>
  <c r="BD478" i="1"/>
  <c r="Z478" i="1" s="1"/>
  <c r="I870" i="1"/>
  <c r="AR864" i="1"/>
  <c r="I184" i="1"/>
  <c r="AR424" i="1"/>
  <c r="BD618" i="1"/>
  <c r="Z618" i="1" s="1"/>
  <c r="I16" i="1"/>
  <c r="J27" i="1"/>
  <c r="J490" i="1"/>
  <c r="BD109" i="1"/>
  <c r="Z109" i="1" s="1"/>
  <c r="AS27" i="1"/>
  <c r="J248" i="1"/>
  <c r="AR312" i="1"/>
  <c r="AQ312" i="1"/>
  <c r="I496" i="1"/>
  <c r="I259" i="1"/>
  <c r="AR33" i="1"/>
  <c r="M81" i="1"/>
  <c r="G15" i="2" s="1"/>
  <c r="BD248" i="1"/>
  <c r="Z248" i="1" s="1"/>
  <c r="AR318" i="1"/>
  <c r="BC496" i="1"/>
  <c r="Y496" i="1"/>
  <c r="J501" i="1"/>
  <c r="I567" i="1"/>
  <c r="J524" i="1"/>
  <c r="I942" i="1"/>
  <c r="I220" i="1"/>
  <c r="I22" i="1"/>
  <c r="J372" i="1"/>
  <c r="BC567" i="1"/>
  <c r="Y567" i="1"/>
  <c r="J911" i="1"/>
  <c r="AS155" i="1"/>
  <c r="BC312" i="1"/>
  <c r="Y312" i="1"/>
  <c r="BC220" i="1"/>
  <c r="Y220" i="1" s="1"/>
  <c r="AS378" i="1"/>
  <c r="J775" i="1"/>
  <c r="I103" i="1"/>
  <c r="AS15" i="1"/>
  <c r="AQ15" i="1" s="1"/>
  <c r="AR311" i="1"/>
  <c r="AR335" i="1"/>
  <c r="BC752" i="1"/>
  <c r="AS635" i="1"/>
  <c r="AQ635" i="1"/>
  <c r="AS21" i="1"/>
  <c r="AR323" i="1"/>
  <c r="BC299" i="1"/>
  <c r="Y299" i="1"/>
  <c r="I341" i="1"/>
  <c r="J352" i="1"/>
  <c r="I512" i="1"/>
  <c r="AR736" i="1"/>
  <c r="J120" i="1"/>
  <c r="I270" i="1"/>
  <c r="J611" i="1"/>
  <c r="BD827" i="1"/>
  <c r="AB827" i="1" s="1"/>
  <c r="AR329" i="1"/>
  <c r="I736" i="1"/>
  <c r="I735" i="1"/>
  <c r="D39" i="2" s="1"/>
  <c r="I90" i="1"/>
  <c r="AR90" i="1"/>
  <c r="BD21" i="1"/>
  <c r="AB21" i="1" s="1"/>
  <c r="J358" i="1"/>
  <c r="BC311" i="1"/>
  <c r="Y311" i="1" s="1"/>
  <c r="BC347" i="1"/>
  <c r="Y347" i="1" s="1"/>
  <c r="AR760" i="1"/>
  <c r="J660" i="1"/>
  <c r="BD62" i="1"/>
  <c r="X62" i="1" s="1"/>
  <c r="BC44" i="1"/>
  <c r="AA44" i="1"/>
  <c r="AX125" i="1"/>
  <c r="BC131" i="1"/>
  <c r="Y131" i="1" s="1"/>
  <c r="I347" i="1"/>
  <c r="BD352" i="1"/>
  <c r="Z352" i="1" s="1"/>
  <c r="AS542" i="1"/>
  <c r="I68" i="1"/>
  <c r="I96" i="1"/>
  <c r="BD383" i="1"/>
  <c r="Z383" i="1" s="1"/>
  <c r="AS383" i="1"/>
  <c r="BD660" i="1"/>
  <c r="Z660" i="1" s="1"/>
  <c r="AS768" i="1"/>
  <c r="AX768" i="1"/>
  <c r="J219" i="1"/>
  <c r="AS62" i="1"/>
  <c r="J125" i="1"/>
  <c r="AR131" i="1"/>
  <c r="I225" i="1"/>
  <c r="BC323" i="1"/>
  <c r="Y323" i="1"/>
  <c r="AR566" i="1"/>
  <c r="AQ566" i="1" s="1"/>
  <c r="AR863" i="1"/>
  <c r="AR68" i="1"/>
  <c r="I203" i="1"/>
  <c r="J258" i="1"/>
  <c r="I728" i="1"/>
  <c r="AR27" i="1"/>
  <c r="I27" i="1"/>
  <c r="AS137" i="1"/>
  <c r="BD120" i="1"/>
  <c r="Z120" i="1" s="1"/>
  <c r="AR299" i="1"/>
  <c r="BC225" i="1"/>
  <c r="Y225" i="1" s="1"/>
  <c r="I566" i="1"/>
  <c r="AR791" i="1"/>
  <c r="AQ791" i="1" s="1"/>
  <c r="J833" i="1"/>
  <c r="AS160" i="1"/>
  <c r="BC203" i="1"/>
  <c r="Y203" i="1"/>
  <c r="AR270" i="1"/>
  <c r="AS258" i="1"/>
  <c r="J471" i="1"/>
  <c r="BC791" i="1"/>
  <c r="AA791" i="1" s="1"/>
  <c r="AR214" i="1"/>
  <c r="AS365" i="1"/>
  <c r="J641" i="1"/>
  <c r="AR305" i="1"/>
  <c r="AQ305" i="1" s="1"/>
  <c r="J365" i="1"/>
  <c r="BD917" i="1"/>
  <c r="AB917" i="1" s="1"/>
  <c r="BD641" i="1"/>
  <c r="Z641" i="1" s="1"/>
  <c r="BD886" i="1"/>
  <c r="AB886" i="1" s="1"/>
  <c r="BD219" i="1"/>
  <c r="Z219" i="1"/>
  <c r="BC305" i="1"/>
  <c r="Y305" i="1" s="1"/>
  <c r="BC335" i="1"/>
  <c r="Y335" i="1" s="1"/>
  <c r="I161" i="1"/>
  <c r="AS209" i="1"/>
  <c r="AQ209" i="1" s="1"/>
  <c r="BD254" i="1"/>
  <c r="Z254" i="1"/>
  <c r="I472" i="1"/>
  <c r="BD512" i="1"/>
  <c r="Z512" i="1" s="1"/>
  <c r="J548" i="1"/>
  <c r="J454" i="1"/>
  <c r="BC472" i="1"/>
  <c r="Y472" i="1"/>
  <c r="J506" i="1"/>
  <c r="AS512" i="1"/>
  <c r="AX512" i="1" s="1"/>
  <c r="J335" i="1"/>
  <c r="AR271" i="1"/>
  <c r="BC226" i="1"/>
  <c r="Y226" i="1" s="1"/>
  <c r="I243" i="1"/>
  <c r="AX341" i="1"/>
  <c r="AS418" i="1"/>
  <c r="BD454" i="1"/>
  <c r="Z454" i="1" s="1"/>
  <c r="AR518" i="1"/>
  <c r="I85" i="1"/>
  <c r="BC145" i="1"/>
  <c r="Y145" i="1"/>
  <c r="J605" i="1"/>
  <c r="AR277" i="1"/>
  <c r="BC460" i="1"/>
  <c r="Y460" i="1" s="1"/>
  <c r="I635" i="1"/>
  <c r="BC536" i="1"/>
  <c r="Y536" i="1" s="1"/>
  <c r="J679" i="1"/>
  <c r="I277" i="1"/>
  <c r="J581" i="1"/>
  <c r="BA190" i="1"/>
  <c r="AR161" i="1"/>
  <c r="AS198" i="1"/>
  <c r="AQ198" i="1" s="1"/>
  <c r="J495" i="1"/>
  <c r="I466" i="1"/>
  <c r="I490" i="1"/>
  <c r="BC635" i="1"/>
  <c r="Y635" i="1" s="1"/>
  <c r="BD679" i="1"/>
  <c r="Z679" i="1"/>
  <c r="BD209" i="1"/>
  <c r="Z209" i="1" s="1"/>
  <c r="J575" i="1"/>
  <c r="AR167" i="1"/>
  <c r="J192" i="1"/>
  <c r="I237" i="1"/>
  <c r="AS299" i="1"/>
  <c r="I167" i="1"/>
  <c r="AR173" i="1"/>
  <c r="AQ173" i="1" s="1"/>
  <c r="J198" i="1"/>
  <c r="AX69" i="1"/>
  <c r="I173" i="1"/>
  <c r="BC466" i="1"/>
  <c r="Y466" i="1" s="1"/>
  <c r="BC490" i="1"/>
  <c r="Y490" i="1" s="1"/>
  <c r="I530" i="1"/>
  <c r="BC641" i="1"/>
  <c r="Y641" i="1"/>
  <c r="I641" i="1"/>
  <c r="AS317" i="1"/>
  <c r="I51" i="1"/>
  <c r="AS121" i="1"/>
  <c r="AR179" i="1"/>
  <c r="BC237" i="1"/>
  <c r="Y237" i="1"/>
  <c r="BC530" i="1"/>
  <c r="Y530" i="1" s="1"/>
  <c r="I524" i="1"/>
  <c r="BC647" i="1"/>
  <c r="Y647" i="1"/>
  <c r="I647" i="1"/>
  <c r="AR226" i="1"/>
  <c r="AS323" i="1"/>
  <c r="BA742" i="1"/>
  <c r="I179" i="1"/>
  <c r="BC524" i="1"/>
  <c r="Y524" i="1" s="1"/>
  <c r="I768" i="1"/>
  <c r="AR85" i="1"/>
  <c r="AX85" i="1" s="1"/>
  <c r="J126" i="1"/>
  <c r="AS126" i="1"/>
  <c r="J329" i="1"/>
  <c r="I359" i="1"/>
  <c r="J446" i="1"/>
  <c r="I478" i="1"/>
  <c r="I561" i="1"/>
  <c r="I91" i="1"/>
  <c r="AR116" i="1"/>
  <c r="AS259" i="1"/>
  <c r="BD495" i="1"/>
  <c r="Z495" i="1" s="1"/>
  <c r="J423" i="1"/>
  <c r="BD423" i="1"/>
  <c r="Z423" i="1" s="1"/>
  <c r="J429" i="1"/>
  <c r="BC478" i="1"/>
  <c r="Y478" i="1"/>
  <c r="BC561" i="1"/>
  <c r="Y561" i="1" s="1"/>
  <c r="BD548" i="1"/>
  <c r="Z548" i="1"/>
  <c r="I484" i="1"/>
  <c r="BD259" i="1"/>
  <c r="Z259" i="1"/>
  <c r="J317" i="1"/>
  <c r="J254" i="1"/>
  <c r="BD429" i="1"/>
  <c r="Z429" i="1" s="1"/>
  <c r="BC484" i="1"/>
  <c r="Y484" i="1" s="1"/>
  <c r="AS329" i="1"/>
  <c r="BC133" i="1"/>
  <c r="Y133" i="1"/>
  <c r="AS335" i="1"/>
  <c r="BC543" i="1"/>
  <c r="Y543" i="1" s="1"/>
  <c r="AR133" i="1"/>
  <c r="AR543" i="1"/>
  <c r="I518" i="1"/>
  <c r="AR58" i="1"/>
  <c r="AS265" i="1"/>
  <c r="I981" i="1"/>
  <c r="AR292" i="1"/>
  <c r="AS958" i="1"/>
  <c r="AS280" i="1"/>
  <c r="BC620" i="1"/>
  <c r="Y620" i="1" s="1"/>
  <c r="BC1042" i="1"/>
  <c r="AA1042" i="1" s="1"/>
  <c r="J280" i="1"/>
  <c r="AR339" i="1"/>
  <c r="AQ339" i="1" s="1"/>
  <c r="AS684" i="1"/>
  <c r="I292" i="1"/>
  <c r="BC339" i="1"/>
  <c r="Y339" i="1"/>
  <c r="J650" i="1"/>
  <c r="BC849" i="1"/>
  <c r="AA849" i="1" s="1"/>
  <c r="I585" i="1"/>
  <c r="AX219" i="1"/>
  <c r="I405" i="1"/>
  <c r="AR552" i="1"/>
  <c r="AR614" i="1"/>
  <c r="BD728" i="1"/>
  <c r="Z728" i="1" s="1"/>
  <c r="J923" i="1"/>
  <c r="I620" i="1"/>
  <c r="AR750" i="1"/>
  <c r="I675" i="1"/>
  <c r="J1033" i="1"/>
  <c r="BC388" i="1"/>
  <c r="Y388" i="1"/>
  <c r="BC579" i="1"/>
  <c r="Y579" i="1" s="1"/>
  <c r="BC573" i="1"/>
  <c r="Y573" i="1"/>
  <c r="I357" i="1"/>
  <c r="AR534" i="1"/>
  <c r="AX660" i="1"/>
  <c r="I696" i="1"/>
  <c r="I695" i="1" s="1"/>
  <c r="D34" i="2" s="1"/>
  <c r="I828" i="1"/>
  <c r="BC376" i="1"/>
  <c r="Y376" i="1" s="1"/>
  <c r="AS427" i="1"/>
  <c r="AX427" i="1"/>
  <c r="BC585" i="1"/>
  <c r="Y585" i="1" s="1"/>
  <c r="J546" i="1"/>
  <c r="I363" i="1"/>
  <c r="AR626" i="1"/>
  <c r="I688" i="1"/>
  <c r="AR696" i="1"/>
  <c r="AR388" i="1"/>
  <c r="BC769" i="1"/>
  <c r="AA769" i="1" s="1"/>
  <c r="BC750" i="1"/>
  <c r="BD399" i="1"/>
  <c r="Z399" i="1"/>
  <c r="BC682" i="1"/>
  <c r="Y682" i="1" s="1"/>
  <c r="BD923" i="1"/>
  <c r="AB923" i="1"/>
  <c r="AR376" i="1"/>
  <c r="I541" i="1"/>
  <c r="I464" i="1"/>
  <c r="AS596" i="1"/>
  <c r="BC626" i="1"/>
  <c r="Y626" i="1" s="1"/>
  <c r="AS399" i="1"/>
  <c r="BC786" i="1"/>
  <c r="AA786" i="1" s="1"/>
  <c r="AR682" i="1"/>
  <c r="BC975" i="1"/>
  <c r="AA975" i="1"/>
  <c r="AS516" i="1"/>
  <c r="J596" i="1"/>
  <c r="BD780" i="1"/>
  <c r="AB780" i="1"/>
  <c r="AR675" i="1"/>
  <c r="AR786" i="1"/>
  <c r="AQ786" i="1" s="1"/>
  <c r="BC981" i="1"/>
  <c r="AA981" i="1" s="1"/>
  <c r="BC464" i="1"/>
  <c r="Y464" i="1"/>
  <c r="AR482" i="1"/>
  <c r="I784" i="1"/>
  <c r="J728" i="1"/>
  <c r="BD427" i="1"/>
  <c r="Z427" i="1"/>
  <c r="J1021" i="1"/>
  <c r="AS1033" i="1"/>
  <c r="BC987" i="1"/>
  <c r="AA987" i="1"/>
  <c r="I482" i="1"/>
  <c r="AX574" i="1"/>
  <c r="BC405" i="1"/>
  <c r="Y405" i="1"/>
  <c r="AR688" i="1"/>
  <c r="AX688" i="1"/>
  <c r="BC805" i="1"/>
  <c r="AA805" i="1" s="1"/>
  <c r="AR357" i="1"/>
  <c r="AQ357" i="1" s="1"/>
  <c r="BD546" i="1"/>
  <c r="Z546" i="1" s="1"/>
  <c r="AS315" i="1"/>
  <c r="AR155" i="1"/>
  <c r="AS90" i="1"/>
  <c r="BD39" i="1"/>
  <c r="AB39" i="1" s="1"/>
  <c r="J269" i="1"/>
  <c r="AR287" i="1"/>
  <c r="AS381" i="1"/>
  <c r="J498" i="1"/>
  <c r="I643" i="1"/>
  <c r="BC957" i="1"/>
  <c r="AA957" i="1" s="1"/>
  <c r="J939" i="1"/>
  <c r="I1044" i="1"/>
  <c r="BC126" i="1"/>
  <c r="Y126" i="1" s="1"/>
  <c r="AR281" i="1"/>
  <c r="AX281" i="1"/>
  <c r="BD76" i="1"/>
  <c r="X76" i="1" s="1"/>
  <c r="AS421" i="1"/>
  <c r="J1016" i="1"/>
  <c r="BD115" i="1"/>
  <c r="Z115" i="1" s="1"/>
  <c r="BC287" i="1"/>
  <c r="Y287" i="1"/>
  <c r="I416" i="1"/>
  <c r="AR558" i="1"/>
  <c r="BC768" i="1"/>
  <c r="AA768" i="1" s="1"/>
  <c r="BD96" i="1"/>
  <c r="Z96" i="1" s="1"/>
  <c r="BA758" i="1"/>
  <c r="J16" i="1"/>
  <c r="BD224" i="1"/>
  <c r="Z224" i="1" s="1"/>
  <c r="BC416" i="1"/>
  <c r="Y416" i="1" s="1"/>
  <c r="J722" i="1"/>
  <c r="I774" i="1"/>
  <c r="AS109" i="1"/>
  <c r="I298" i="1"/>
  <c r="J779" i="1"/>
  <c r="BC774" i="1"/>
  <c r="AA774" i="1" s="1"/>
  <c r="BC966" i="1"/>
  <c r="AA966" i="1"/>
  <c r="AR126" i="1"/>
  <c r="I172" i="1"/>
  <c r="BC662" i="1"/>
  <c r="Y662" i="1"/>
  <c r="J493" i="1"/>
  <c r="I910" i="1"/>
  <c r="I138" i="1"/>
  <c r="AS115" i="1"/>
  <c r="AR166" i="1"/>
  <c r="BC298" i="1"/>
  <c r="Y298" i="1"/>
  <c r="AS779" i="1"/>
  <c r="AX779" i="1" s="1"/>
  <c r="J838" i="1"/>
  <c r="BD362" i="1"/>
  <c r="Z362" i="1"/>
  <c r="J438" i="1"/>
  <c r="AS438" i="1"/>
  <c r="BC674" i="1"/>
  <c r="Y674" i="1" s="1"/>
  <c r="AS493" i="1"/>
  <c r="BC602" i="1"/>
  <c r="Y602" i="1" s="1"/>
  <c r="BC917" i="1"/>
  <c r="AA917" i="1" s="1"/>
  <c r="I219" i="1"/>
  <c r="BA734" i="1"/>
  <c r="AS68" i="1"/>
  <c r="AR172" i="1"/>
  <c r="I144" i="1"/>
  <c r="BC219" i="1"/>
  <c r="Y219" i="1"/>
  <c r="AR637" i="1"/>
  <c r="BD57" i="1"/>
  <c r="X57" i="1"/>
  <c r="AS149" i="1"/>
  <c r="I230" i="1"/>
  <c r="AS247" i="1"/>
  <c r="AS569" i="1"/>
  <c r="AQ569" i="1" s="1"/>
  <c r="BD563" i="1"/>
  <c r="Z563" i="1"/>
  <c r="BD670" i="1"/>
  <c r="Z670" i="1" s="1"/>
  <c r="BD68" i="1"/>
  <c r="X68" i="1" s="1"/>
  <c r="J224" i="1"/>
  <c r="BC637" i="1"/>
  <c r="Y637" i="1" s="1"/>
  <c r="I155" i="1"/>
  <c r="BC144" i="1"/>
  <c r="Y144" i="1" s="1"/>
  <c r="BD381" i="1"/>
  <c r="Z381" i="1" s="1"/>
  <c r="AR510" i="1"/>
  <c r="BD971" i="1"/>
  <c r="AB971" i="1" s="1"/>
  <c r="BD90" i="1"/>
  <c r="Z90" i="1" s="1"/>
  <c r="AS821" i="1"/>
  <c r="BD504" i="1"/>
  <c r="Z504" i="1" s="1"/>
  <c r="AS504" i="1"/>
  <c r="AQ504" i="1" s="1"/>
  <c r="BC546" i="1"/>
  <c r="Y546" i="1"/>
  <c r="I827" i="1"/>
  <c r="AS1022" i="1"/>
  <c r="BD821" i="1"/>
  <c r="AB821" i="1" s="1"/>
  <c r="J57" i="1"/>
  <c r="I281" i="1"/>
  <c r="I510" i="1"/>
  <c r="AR516" i="1"/>
  <c r="BD722" i="1"/>
  <c r="Z722" i="1" s="1"/>
  <c r="AR785" i="1"/>
  <c r="J421" i="1"/>
  <c r="BD569" i="1"/>
  <c r="Z569" i="1" s="1"/>
  <c r="BD667" i="1"/>
  <c r="Z667" i="1"/>
  <c r="BC986" i="1"/>
  <c r="AA986" i="1" s="1"/>
  <c r="AS39" i="1"/>
  <c r="AS269" i="1"/>
  <c r="AQ269" i="1"/>
  <c r="I516" i="1"/>
  <c r="AS498" i="1"/>
  <c r="AR643" i="1"/>
  <c r="BC785" i="1"/>
  <c r="AA785" i="1" s="1"/>
  <c r="I957" i="1"/>
  <c r="AS362" i="1"/>
  <c r="AS563" i="1"/>
  <c r="AQ563" i="1" s="1"/>
  <c r="AR662" i="1"/>
  <c r="AQ851" i="1"/>
  <c r="AR905" i="1"/>
  <c r="AX905" i="1"/>
  <c r="AR811" i="1"/>
  <c r="AS822" i="1"/>
  <c r="BD775" i="1"/>
  <c r="AB775" i="1"/>
  <c r="AS34" i="1"/>
  <c r="J869" i="1"/>
  <c r="AR966" i="1"/>
  <c r="AS951" i="1"/>
  <c r="BD1044" i="1"/>
  <c r="AB1044" i="1" s="1"/>
  <c r="AR703" i="1"/>
  <c r="BC884" i="1"/>
  <c r="AA884" i="1" s="1"/>
  <c r="BC890" i="1"/>
  <c r="AA890" i="1"/>
  <c r="J977" i="1"/>
  <c r="AS869" i="1"/>
  <c r="BC828" i="1"/>
  <c r="AA828" i="1" s="1"/>
  <c r="BC893" i="1"/>
  <c r="AA893" i="1" s="1"/>
  <c r="AS971" i="1"/>
  <c r="J951" i="1"/>
  <c r="BC899" i="1"/>
  <c r="AA899" i="1" s="1"/>
  <c r="J986" i="1"/>
  <c r="BD986" i="1"/>
  <c r="AB986" i="1"/>
  <c r="I811" i="1"/>
  <c r="BC905" i="1"/>
  <c r="AA905" i="1"/>
  <c r="AX851" i="1"/>
  <c r="AR926" i="1"/>
  <c r="AQ429" i="1"/>
  <c r="AR805" i="1"/>
  <c r="AR893" i="1"/>
  <c r="J786" i="1"/>
  <c r="AX612" i="1"/>
  <c r="BC851" i="1"/>
  <c r="AA851" i="1"/>
  <c r="AR899" i="1"/>
  <c r="I851" i="1"/>
  <c r="I1038" i="1"/>
  <c r="BC790" i="1"/>
  <c r="AA790" i="1" s="1"/>
  <c r="AQ316" i="1"/>
  <c r="I857" i="1"/>
  <c r="AS182" i="1"/>
  <c r="BC261" i="1"/>
  <c r="Y261" i="1" s="1"/>
  <c r="J884" i="1"/>
  <c r="BC82" i="1"/>
  <c r="Y82" i="1" s="1"/>
  <c r="AS170" i="1"/>
  <c r="AX170" i="1"/>
  <c r="I102" i="1"/>
  <c r="J272" i="1"/>
  <c r="I188" i="1"/>
  <c r="BD542" i="1"/>
  <c r="Z542" i="1"/>
  <c r="BD884" i="1"/>
  <c r="AB884" i="1" s="1"/>
  <c r="AS975" i="1"/>
  <c r="BD768" i="1"/>
  <c r="AB768" i="1" s="1"/>
  <c r="AX454" i="1"/>
  <c r="BC512" i="1"/>
  <c r="Y512" i="1"/>
  <c r="J1017" i="1"/>
  <c r="J56" i="1"/>
  <c r="AS336" i="1"/>
  <c r="J615" i="1"/>
  <c r="J809" i="1"/>
  <c r="J937" i="1"/>
  <c r="I703" i="1"/>
  <c r="BD890" i="1"/>
  <c r="AB890" i="1" s="1"/>
  <c r="J500" i="1"/>
  <c r="AS500" i="1"/>
  <c r="BC548" i="1"/>
  <c r="Y548" i="1" s="1"/>
  <c r="BD958" i="1"/>
  <c r="AB958" i="1" s="1"/>
  <c r="I804" i="1"/>
  <c r="AO570" i="1"/>
  <c r="I143" i="1"/>
  <c r="AS61" i="1"/>
  <c r="I506" i="1"/>
  <c r="J483" i="1"/>
  <c r="AQ385" i="1"/>
  <c r="BC506" i="1"/>
  <c r="Y506" i="1"/>
  <c r="I710" i="1"/>
  <c r="BA736" i="1"/>
  <c r="AS911" i="1"/>
  <c r="J1027" i="1"/>
  <c r="AS1027" i="1"/>
  <c r="AS119" i="1"/>
  <c r="AQ119" i="1" s="1"/>
  <c r="BD336" i="1"/>
  <c r="Z336" i="1" s="1"/>
  <c r="J553" i="1"/>
  <c r="BD56" i="1"/>
  <c r="X56" i="1" s="1"/>
  <c r="I44" i="1"/>
  <c r="AQ248" i="1"/>
  <c r="I313" i="1"/>
  <c r="I454" i="1"/>
  <c r="BC780" i="1"/>
  <c r="AA780" i="1" s="1"/>
  <c r="I222" i="1"/>
  <c r="AS318" i="1"/>
  <c r="BD790" i="1"/>
  <c r="AB790" i="1" s="1"/>
  <c r="BC313" i="1"/>
  <c r="Y313" i="1"/>
  <c r="J574" i="1"/>
  <c r="AS860" i="1"/>
  <c r="J295" i="1"/>
  <c r="BD318" i="1"/>
  <c r="Z318" i="1" s="1"/>
  <c r="AS832" i="1"/>
  <c r="BC873" i="1"/>
  <c r="AA873" i="1"/>
  <c r="I267" i="1"/>
  <c r="BD233" i="1"/>
  <c r="Z233" i="1"/>
  <c r="BD170" i="1"/>
  <c r="Z170" i="1" s="1"/>
  <c r="I301" i="1"/>
  <c r="BC201" i="1"/>
  <c r="Y201" i="1"/>
  <c r="BC267" i="1"/>
  <c r="Y267" i="1" s="1"/>
  <c r="BC454" i="1"/>
  <c r="Y454" i="1"/>
  <c r="BD574" i="1"/>
  <c r="Z574" i="1" s="1"/>
  <c r="J785" i="1"/>
  <c r="AR95" i="1"/>
  <c r="BC378" i="1"/>
  <c r="Y378" i="1" s="1"/>
  <c r="AR284" i="1"/>
  <c r="J412" i="1"/>
  <c r="J529" i="1"/>
  <c r="AS657" i="1"/>
  <c r="BD752" i="1"/>
  <c r="AX325" i="1"/>
  <c r="J153" i="1"/>
  <c r="AR201" i="1"/>
  <c r="AQ201" i="1"/>
  <c r="J580" i="1"/>
  <c r="J651" i="1"/>
  <c r="J860" i="1"/>
  <c r="AS785" i="1"/>
  <c r="I873" i="1"/>
  <c r="J406" i="1"/>
  <c r="BD295" i="1"/>
  <c r="Z295" i="1"/>
  <c r="AS529" i="1"/>
  <c r="AQ529" i="1" s="1"/>
  <c r="J657" i="1"/>
  <c r="BC932" i="1"/>
  <c r="AA932" i="1"/>
  <c r="AX725" i="1"/>
  <c r="BD182" i="1"/>
  <c r="Z182" i="1"/>
  <c r="AR378" i="1"/>
  <c r="J459" i="1"/>
  <c r="I586" i="1"/>
  <c r="BD580" i="1"/>
  <c r="Z580" i="1"/>
  <c r="BD651" i="1"/>
  <c r="Z651" i="1" s="1"/>
  <c r="I75" i="1"/>
  <c r="AS153" i="1"/>
  <c r="J289" i="1"/>
  <c r="AR245" i="1"/>
  <c r="AQ245" i="1" s="1"/>
  <c r="AR548" i="1"/>
  <c r="AX548" i="1" s="1"/>
  <c r="J535" i="1"/>
  <c r="BC879" i="1"/>
  <c r="AA879" i="1" s="1"/>
  <c r="I941" i="1"/>
  <c r="AS805" i="1"/>
  <c r="AR143" i="1"/>
  <c r="BC188" i="1"/>
  <c r="Y188" i="1" s="1"/>
  <c r="AS342" i="1"/>
  <c r="AX342" i="1"/>
  <c r="AS535" i="1"/>
  <c r="AQ535" i="1" s="1"/>
  <c r="AS164" i="1"/>
  <c r="BC586" i="1"/>
  <c r="Y586" i="1"/>
  <c r="AR102" i="1"/>
  <c r="BD688" i="1"/>
  <c r="Z688" i="1"/>
  <c r="J890" i="1"/>
  <c r="BC972" i="1"/>
  <c r="AA972" i="1" s="1"/>
  <c r="AS324" i="1"/>
  <c r="BD459" i="1"/>
  <c r="Z459" i="1"/>
  <c r="BD483" i="1"/>
  <c r="Z483" i="1"/>
  <c r="AR998" i="1"/>
  <c r="BD732" i="1"/>
  <c r="X732" i="1" s="1"/>
  <c r="J725" i="1"/>
  <c r="AR1001" i="1"/>
  <c r="J613" i="1"/>
  <c r="I701" i="1"/>
  <c r="BC856" i="1"/>
  <c r="AA856" i="1"/>
  <c r="BD714" i="1"/>
  <c r="Z714" i="1" s="1"/>
  <c r="AN695" i="1"/>
  <c r="AR547" i="1"/>
  <c r="AQ547" i="1" s="1"/>
  <c r="BC429" i="1"/>
  <c r="Y429" i="1"/>
  <c r="AX839" i="1"/>
  <c r="BD547" i="1"/>
  <c r="Z547" i="1" s="1"/>
  <c r="I471" i="1"/>
  <c r="BC367" i="1"/>
  <c r="Y367" i="1" s="1"/>
  <c r="AX429" i="1"/>
  <c r="J686" i="1"/>
  <c r="AS823" i="1"/>
  <c r="AX823" i="1" s="1"/>
  <c r="AR869" i="1"/>
  <c r="BC840" i="1"/>
  <c r="AA840" i="1"/>
  <c r="BD823" i="1"/>
  <c r="AB823" i="1" s="1"/>
  <c r="AS960" i="1"/>
  <c r="AS161" i="1"/>
  <c r="AQ161" i="1"/>
  <c r="I274" i="1"/>
  <c r="I224" i="1"/>
  <c r="AR274" i="1"/>
  <c r="AX274" i="1"/>
  <c r="BC489" i="1"/>
  <c r="Y489" i="1"/>
  <c r="BC655" i="1"/>
  <c r="Y655" i="1"/>
  <c r="J973" i="1"/>
  <c r="AR880" i="1"/>
  <c r="I1031" i="1"/>
  <c r="I602" i="1"/>
  <c r="AQ125" i="1"/>
  <c r="AX180" i="1"/>
  <c r="J240" i="1"/>
  <c r="BD218" i="1"/>
  <c r="Z218" i="1" s="1"/>
  <c r="AS240" i="1"/>
  <c r="AR338" i="1"/>
  <c r="I477" i="1"/>
  <c r="BC423" i="1"/>
  <c r="Y423" i="1"/>
  <c r="J921" i="1"/>
  <c r="AR921" i="1"/>
  <c r="I885" i="1"/>
  <c r="BD926" i="1"/>
  <c r="AB926" i="1"/>
  <c r="BD966" i="1"/>
  <c r="AB966" i="1" s="1"/>
  <c r="J161" i="1"/>
  <c r="AR224" i="1"/>
  <c r="I257" i="1"/>
  <c r="AR655" i="1"/>
  <c r="J879" i="1"/>
  <c r="BC968" i="1"/>
  <c r="AA968" i="1"/>
  <c r="J1013" i="1"/>
  <c r="AQ612" i="1"/>
  <c r="BD213" i="1"/>
  <c r="Z213" i="1" s="1"/>
  <c r="J302" i="1"/>
  <c r="I483" i="1"/>
  <c r="AR590" i="1"/>
  <c r="BD908" i="1"/>
  <c r="AB908" i="1"/>
  <c r="AR927" i="1"/>
  <c r="BD932" i="1"/>
  <c r="AB932" i="1" s="1"/>
  <c r="I1002" i="1"/>
  <c r="I972" i="1"/>
  <c r="BD1008" i="1"/>
  <c r="AB1008" i="1" s="1"/>
  <c r="J631" i="1"/>
  <c r="I932" i="1"/>
  <c r="J832" i="1"/>
  <c r="I673" i="1"/>
  <c r="J839" i="1"/>
  <c r="J868" i="1"/>
  <c r="I320" i="1"/>
  <c r="I332" i="1"/>
  <c r="BD302" i="1"/>
  <c r="Z302" i="1"/>
  <c r="I429" i="1"/>
  <c r="AR596" i="1"/>
  <c r="AX596" i="1" s="1"/>
  <c r="BC845" i="1"/>
  <c r="AA845" i="1" s="1"/>
  <c r="AS308" i="1"/>
  <c r="AQ308" i="1"/>
  <c r="BD631" i="1"/>
  <c r="Z631" i="1"/>
  <c r="AS879" i="1"/>
  <c r="BC998" i="1"/>
  <c r="AA998" i="1"/>
  <c r="BC673" i="1"/>
  <c r="Y673" i="1" s="1"/>
  <c r="BC529" i="1"/>
  <c r="Y529" i="1" s="1"/>
  <c r="BC332" i="1"/>
  <c r="Y332" i="1" s="1"/>
  <c r="BC418" i="1"/>
  <c r="Y418" i="1"/>
  <c r="AR423" i="1"/>
  <c r="I650" i="1"/>
  <c r="AS921" i="1"/>
  <c r="AQ839" i="1"/>
  <c r="I1026" i="1"/>
  <c r="AR151" i="1"/>
  <c r="AQ151" i="1" s="1"/>
  <c r="BC134" i="1"/>
  <c r="Y134" i="1"/>
  <c r="I500" i="1"/>
  <c r="J636" i="1"/>
  <c r="AS636" i="1"/>
  <c r="I692" i="1"/>
  <c r="BC788" i="1"/>
  <c r="AA788" i="1" s="1"/>
  <c r="BC345" i="1"/>
  <c r="Y345" i="1"/>
  <c r="AR205" i="1"/>
  <c r="AR200" i="1"/>
  <c r="BC320" i="1"/>
  <c r="Y320" i="1"/>
  <c r="I338" i="1"/>
  <c r="AX202" i="1"/>
  <c r="J218" i="1"/>
  <c r="J213" i="1"/>
  <c r="BC650" i="1"/>
  <c r="Y650" i="1"/>
  <c r="J673" i="1"/>
  <c r="I921" i="1"/>
  <c r="AS926" i="1"/>
  <c r="BC818" i="1"/>
  <c r="AA818" i="1"/>
  <c r="BC863" i="1"/>
  <c r="AA863" i="1" s="1"/>
  <c r="AS1026" i="1"/>
  <c r="BD1026" i="1"/>
  <c r="AB1026" i="1" s="1"/>
  <c r="BC151" i="1"/>
  <c r="Y151" i="1" s="1"/>
  <c r="AR418" i="1"/>
  <c r="AX413" i="1"/>
  <c r="J642" i="1"/>
  <c r="BD839" i="1"/>
  <c r="AB839" i="1"/>
  <c r="I1036" i="1"/>
  <c r="AQ574" i="1"/>
  <c r="I344" i="1"/>
  <c r="I373" i="1"/>
  <c r="M450" i="1"/>
  <c r="G23" i="2" s="1"/>
  <c r="BD673" i="1"/>
  <c r="Z673" i="1"/>
  <c r="I927" i="1"/>
  <c r="BD725" i="1"/>
  <c r="Z725" i="1" s="1"/>
  <c r="I845" i="1"/>
  <c r="BC869" i="1"/>
  <c r="AA869" i="1" s="1"/>
  <c r="I407" i="1"/>
  <c r="AR483" i="1"/>
  <c r="J661" i="1"/>
  <c r="BD856" i="1"/>
  <c r="AB856" i="1" s="1"/>
  <c r="AS806" i="1"/>
  <c r="BC1002" i="1"/>
  <c r="AA1002" i="1" s="1"/>
  <c r="BD1042" i="1"/>
  <c r="AB1042" i="1"/>
  <c r="AQ699" i="1"/>
  <c r="I434" i="1"/>
  <c r="AQ625" i="1"/>
  <c r="J856" i="1"/>
  <c r="AS932" i="1"/>
  <c r="BD960" i="1"/>
  <c r="AB960" i="1"/>
  <c r="BC1036" i="1"/>
  <c r="AA1036" i="1"/>
  <c r="AS179" i="1"/>
  <c r="BC596" i="1"/>
  <c r="Y596" i="1"/>
  <c r="I917" i="1"/>
  <c r="BC634" i="1"/>
  <c r="Y634" i="1"/>
  <c r="AR644" i="1"/>
  <c r="AS581" i="1"/>
  <c r="AQ844" i="1"/>
  <c r="BD844" i="1"/>
  <c r="AB844" i="1"/>
  <c r="BD811" i="1"/>
  <c r="AB811" i="1" s="1"/>
  <c r="J995" i="1"/>
  <c r="I777" i="1"/>
  <c r="AX405" i="1"/>
  <c r="BC834" i="1"/>
  <c r="AA834" i="1" s="1"/>
  <c r="AS527" i="1"/>
  <c r="BC950" i="1"/>
  <c r="AA950" i="1"/>
  <c r="BC872" i="1"/>
  <c r="AA872" i="1" s="1"/>
  <c r="J872" i="1"/>
  <c r="AR939" i="1"/>
  <c r="AS816" i="1"/>
  <c r="AS849" i="1"/>
  <c r="AQ849" i="1" s="1"/>
  <c r="AR872" i="1"/>
  <c r="I642" i="1"/>
  <c r="AS514" i="1"/>
  <c r="AR63" i="1"/>
  <c r="AX374" i="1"/>
  <c r="AR973" i="1"/>
  <c r="I939" i="1"/>
  <c r="I668" i="1"/>
  <c r="I867" i="1"/>
  <c r="I568" i="1"/>
  <c r="BC839" i="1"/>
  <c r="AA839" i="1" s="1"/>
  <c r="AR471" i="1"/>
  <c r="BC668" i="1"/>
  <c r="Y668" i="1" s="1"/>
  <c r="AR157" i="1"/>
  <c r="I63" i="1"/>
  <c r="AQ725" i="1"/>
  <c r="J844" i="1"/>
  <c r="BD872" i="1"/>
  <c r="AB872" i="1" s="1"/>
  <c r="I839" i="1"/>
  <c r="J849" i="1"/>
  <c r="AQ524" i="1"/>
  <c r="BD656" i="1"/>
  <c r="Z656" i="1"/>
  <c r="AR888" i="1"/>
  <c r="AX888" i="1" s="1"/>
  <c r="I834" i="1"/>
  <c r="AR945" i="1"/>
  <c r="BC1012" i="1"/>
  <c r="AA1012" i="1" s="1"/>
  <c r="BC844" i="1"/>
  <c r="AA844" i="1"/>
  <c r="BC610" i="1"/>
  <c r="Y610" i="1" s="1"/>
  <c r="I888" i="1"/>
  <c r="AX557" i="1"/>
  <c r="I823" i="1"/>
  <c r="BC616" i="1"/>
  <c r="Y616" i="1"/>
  <c r="J899" i="1"/>
  <c r="I894" i="1"/>
  <c r="AR894" i="1"/>
  <c r="AX894" i="1" s="1"/>
  <c r="BC883" i="1"/>
  <c r="AA883" i="1" s="1"/>
  <c r="BD576" i="1"/>
  <c r="Z576" i="1"/>
  <c r="J905" i="1"/>
  <c r="I900" i="1"/>
  <c r="J917" i="1"/>
  <c r="AS899" i="1"/>
  <c r="AR900" i="1"/>
  <c r="J822" i="1"/>
  <c r="BC1001" i="1"/>
  <c r="AA1001" i="1"/>
  <c r="AS973" i="1"/>
  <c r="BD677" i="1"/>
  <c r="Z677" i="1" s="1"/>
  <c r="AS677" i="1"/>
  <c r="J677" i="1"/>
  <c r="AG696" i="1"/>
  <c r="AP695" i="1" s="1"/>
  <c r="K695" i="1"/>
  <c r="F34" i="2"/>
  <c r="I34" i="2" s="1"/>
  <c r="AR689" i="1"/>
  <c r="BC689" i="1"/>
  <c r="Y689" i="1"/>
  <c r="I689" i="1"/>
  <c r="AR684" i="1"/>
  <c r="BC684" i="1"/>
  <c r="Y684" i="1"/>
  <c r="I684" i="1"/>
  <c r="J424" i="1"/>
  <c r="BD424" i="1"/>
  <c r="Z424" i="1"/>
  <c r="AS424" i="1"/>
  <c r="AQ332" i="1"/>
  <c r="AX332" i="1"/>
  <c r="BC722" i="1"/>
  <c r="Y722" i="1" s="1"/>
  <c r="I722" i="1"/>
  <c r="AR722" i="1"/>
  <c r="AX722" i="1"/>
  <c r="BA721" i="1"/>
  <c r="AR430" i="1"/>
  <c r="BD963" i="1"/>
  <c r="AB963" i="1"/>
  <c r="J963" i="1"/>
  <c r="AS963" i="1"/>
  <c r="AX963" i="1" s="1"/>
  <c r="AP570" i="1"/>
  <c r="F27" i="2"/>
  <c r="I27" i="2"/>
  <c r="BC564" i="1"/>
  <c r="Y564" i="1"/>
  <c r="AG688" i="1"/>
  <c r="M669" i="1"/>
  <c r="G30" i="2" s="1"/>
  <c r="BD1046" i="1"/>
  <c r="AB1046" i="1" s="1"/>
  <c r="AS1046" i="1"/>
  <c r="BD1040" i="1"/>
  <c r="AB1040" i="1"/>
  <c r="AS1040" i="1"/>
  <c r="AS764" i="1"/>
  <c r="BD764" i="1"/>
  <c r="AB764" i="1"/>
  <c r="J764" i="1"/>
  <c r="J763" i="1"/>
  <c r="E53" i="2"/>
  <c r="AS748" i="1"/>
  <c r="BD748" i="1"/>
  <c r="J748" i="1"/>
  <c r="J747" i="1" s="1"/>
  <c r="E45" i="2" s="1"/>
  <c r="M747" i="1"/>
  <c r="G45" i="2" s="1"/>
  <c r="BA748" i="1"/>
  <c r="AR734" i="1"/>
  <c r="I734" i="1"/>
  <c r="I733" i="1" s="1"/>
  <c r="D38" i="2" s="1"/>
  <c r="BC734" i="1"/>
  <c r="M731" i="1"/>
  <c r="G37" i="2" s="1"/>
  <c r="BA732" i="1"/>
  <c r="AS598" i="1"/>
  <c r="BD598" i="1"/>
  <c r="Z598" i="1" s="1"/>
  <c r="AR587" i="1"/>
  <c r="BC587" i="1"/>
  <c r="Y587" i="1" s="1"/>
  <c r="I587" i="1"/>
  <c r="AR465" i="1"/>
  <c r="I465" i="1"/>
  <c r="AR459" i="1"/>
  <c r="I459" i="1"/>
  <c r="BD445" i="1"/>
  <c r="Z445" i="1"/>
  <c r="AS445" i="1"/>
  <c r="AS440" i="1"/>
  <c r="J440" i="1"/>
  <c r="AR604" i="1"/>
  <c r="BC604" i="1"/>
  <c r="Y604" i="1" s="1"/>
  <c r="I604" i="1"/>
  <c r="AX524" i="1"/>
  <c r="J810" i="1"/>
  <c r="BD810" i="1"/>
  <c r="AB810" i="1"/>
  <c r="I797" i="1"/>
  <c r="BC797" i="1"/>
  <c r="AA797" i="1" s="1"/>
  <c r="AR797" i="1"/>
  <c r="I792" i="1"/>
  <c r="AR792" i="1"/>
  <c r="BC792" i="1"/>
  <c r="AA792" i="1"/>
  <c r="J776" i="1"/>
  <c r="AS776" i="1"/>
  <c r="BC621" i="1"/>
  <c r="Y621" i="1" s="1"/>
  <c r="AR621" i="1"/>
  <c r="I621" i="1"/>
  <c r="AS481" i="1"/>
  <c r="AQ481" i="1"/>
  <c r="J481" i="1"/>
  <c r="BD475" i="1"/>
  <c r="Z475" i="1" s="1"/>
  <c r="J475" i="1"/>
  <c r="BA474" i="1"/>
  <c r="M452" i="1"/>
  <c r="G24" i="2" s="1"/>
  <c r="BD815" i="1"/>
  <c r="AB815" i="1"/>
  <c r="J815" i="1"/>
  <c r="AS815" i="1"/>
  <c r="BD497" i="1"/>
  <c r="Z497" i="1"/>
  <c r="J497" i="1"/>
  <c r="BC493" i="1"/>
  <c r="Y493" i="1"/>
  <c r="I493" i="1"/>
  <c r="AR493" i="1"/>
  <c r="BC487" i="1"/>
  <c r="Y487" i="1"/>
  <c r="AR487" i="1"/>
  <c r="AQ397" i="1"/>
  <c r="AX397" i="1"/>
  <c r="AR632" i="1"/>
  <c r="BC632" i="1"/>
  <c r="Y632" i="1" s="1"/>
  <c r="I632" i="1"/>
  <c r="AQ506" i="1"/>
  <c r="AX506" i="1"/>
  <c r="AR572" i="1"/>
  <c r="AX820" i="1"/>
  <c r="AS903" i="1"/>
  <c r="AQ903" i="1"/>
  <c r="BD903" i="1"/>
  <c r="AB903" i="1" s="1"/>
  <c r="BD897" i="1"/>
  <c r="AB897" i="1"/>
  <c r="AS897" i="1"/>
  <c r="J897" i="1"/>
  <c r="I881" i="1"/>
  <c r="BC881" i="1"/>
  <c r="AA881" i="1" s="1"/>
  <c r="AR881" i="1"/>
  <c r="BD875" i="1"/>
  <c r="AB875" i="1"/>
  <c r="J875" i="1"/>
  <c r="AR865" i="1"/>
  <c r="BC842" i="1"/>
  <c r="AA842" i="1"/>
  <c r="AR842" i="1"/>
  <c r="J647" i="1"/>
  <c r="AS647" i="1"/>
  <c r="AQ647" i="1"/>
  <c r="AR519" i="1"/>
  <c r="BC519" i="1"/>
  <c r="Y519" i="1"/>
  <c r="I519" i="1"/>
  <c r="AQ774" i="1"/>
  <c r="AX774" i="1"/>
  <c r="AR936" i="1"/>
  <c r="BC936" i="1"/>
  <c r="AA936" i="1" s="1"/>
  <c r="I936" i="1"/>
  <c r="AS925" i="1"/>
  <c r="J925" i="1"/>
  <c r="BD925" i="1"/>
  <c r="AB925" i="1" s="1"/>
  <c r="J920" i="1"/>
  <c r="BD920" i="1"/>
  <c r="AB920" i="1" s="1"/>
  <c r="AS920" i="1"/>
  <c r="I915" i="1"/>
  <c r="BA652" i="1"/>
  <c r="BD543" i="1"/>
  <c r="Z543" i="1" s="1"/>
  <c r="AS543" i="1"/>
  <c r="AQ543" i="1"/>
  <c r="J543" i="1"/>
  <c r="AS536" i="1"/>
  <c r="BD536" i="1"/>
  <c r="Z536" i="1"/>
  <c r="J536" i="1"/>
  <c r="AS530" i="1"/>
  <c r="AQ530" i="1" s="1"/>
  <c r="BD530" i="1"/>
  <c r="Z530" i="1" s="1"/>
  <c r="J530" i="1"/>
  <c r="AR393" i="1"/>
  <c r="BC393" i="1"/>
  <c r="Y393" i="1" s="1"/>
  <c r="I393" i="1"/>
  <c r="J387" i="1"/>
  <c r="AS387" i="1"/>
  <c r="BD941" i="1"/>
  <c r="AB941" i="1" s="1"/>
  <c r="AS941" i="1"/>
  <c r="J941" i="1"/>
  <c r="BC559" i="1"/>
  <c r="Y559" i="1" s="1"/>
  <c r="AR559" i="1"/>
  <c r="I559" i="1"/>
  <c r="AG558" i="1"/>
  <c r="AP555" i="1" s="1"/>
  <c r="K555" i="1"/>
  <c r="F26" i="2"/>
  <c r="I26" i="2" s="1"/>
  <c r="AS398" i="1"/>
  <c r="BD398" i="1"/>
  <c r="Z398" i="1"/>
  <c r="J398" i="1"/>
  <c r="I43" i="1"/>
  <c r="I756" i="1"/>
  <c r="I755" i="1"/>
  <c r="D49" i="2" s="1"/>
  <c r="AS914" i="1"/>
  <c r="BC366" i="1"/>
  <c r="Y366" i="1"/>
  <c r="J208" i="1"/>
  <c r="AR218" i="1"/>
  <c r="AS310" i="1"/>
  <c r="BC810" i="1"/>
  <c r="AA810" i="1" s="1"/>
  <c r="BC775" i="1"/>
  <c r="AA775" i="1"/>
  <c r="BC756" i="1"/>
  <c r="J791" i="1"/>
  <c r="I930" i="1"/>
  <c r="AS957" i="1"/>
  <c r="AX957" i="1"/>
  <c r="J1041" i="1"/>
  <c r="AR321" i="1"/>
  <c r="BD304" i="1"/>
  <c r="Z304" i="1"/>
  <c r="BD348" i="1"/>
  <c r="Z348" i="1" s="1"/>
  <c r="BD208" i="1"/>
  <c r="Z208" i="1"/>
  <c r="BD730" i="1"/>
  <c r="Z730" i="1" s="1"/>
  <c r="I529" i="1"/>
  <c r="BC152" i="1"/>
  <c r="Y152" i="1" s="1"/>
  <c r="AX82" i="1"/>
  <c r="AS52" i="1"/>
  <c r="AX52" i="1"/>
  <c r="AX13" i="1"/>
  <c r="J726" i="1"/>
  <c r="AS791" i="1"/>
  <c r="J935" i="1"/>
  <c r="J957" i="1"/>
  <c r="AS223" i="1"/>
  <c r="BD310" i="1"/>
  <c r="Z310" i="1" s="1"/>
  <c r="AS348" i="1"/>
  <c r="BD223" i="1"/>
  <c r="Z223" i="1" s="1"/>
  <c r="BD682" i="1"/>
  <c r="Z682" i="1"/>
  <c r="BC1022" i="1"/>
  <c r="AA1022" i="1" s="1"/>
  <c r="M765" i="1"/>
  <c r="G54" i="2" s="1"/>
  <c r="BC680" i="1"/>
  <c r="Y680" i="1" s="1"/>
  <c r="J319" i="1"/>
  <c r="AX134" i="1"/>
  <c r="J688" i="1"/>
  <c r="AS935" i="1"/>
  <c r="BD149" i="1"/>
  <c r="Z149" i="1" s="1"/>
  <c r="BD696" i="1"/>
  <c r="Z696" i="1" s="1"/>
  <c r="J885" i="1"/>
  <c r="AS831" i="1"/>
  <c r="AR500" i="1"/>
  <c r="AS406" i="1"/>
  <c r="BD847" i="1"/>
  <c r="AB847" i="1" s="1"/>
  <c r="BD914" i="1"/>
  <c r="AB914" i="1" s="1"/>
  <c r="I1027" i="1"/>
  <c r="AR1009" i="1"/>
  <c r="AS1016" i="1"/>
  <c r="BD64" i="1"/>
  <c r="X64" i="1" s="1"/>
  <c r="AS131" i="1"/>
  <c r="AX131" i="1"/>
  <c r="J343" i="1"/>
  <c r="AR366" i="1"/>
  <c r="K189" i="1"/>
  <c r="F20" i="2"/>
  <c r="I20" i="2" s="1"/>
  <c r="I115" i="1"/>
  <c r="BC321" i="1"/>
  <c r="Y321" i="1"/>
  <c r="J820" i="1"/>
  <c r="BC436" i="1"/>
  <c r="Y436" i="1"/>
  <c r="BC29" i="1"/>
  <c r="AA29" i="1" s="1"/>
  <c r="I903" i="1"/>
  <c r="AS1020" i="1"/>
  <c r="AR1021" i="1"/>
  <c r="BD1020" i="1"/>
  <c r="AB1020" i="1" s="1"/>
  <c r="BD820" i="1"/>
  <c r="AB820" i="1"/>
  <c r="BC963" i="1"/>
  <c r="AA963" i="1" s="1"/>
  <c r="I987" i="1"/>
  <c r="BC816" i="1"/>
  <c r="AA816" i="1" s="1"/>
  <c r="AR394" i="1"/>
  <c r="AS847" i="1"/>
  <c r="AR875" i="1"/>
  <c r="BC930" i="1"/>
  <c r="AA930" i="1" s="1"/>
  <c r="AR870" i="1"/>
  <c r="AS271" i="1"/>
  <c r="AQ271" i="1" s="1"/>
  <c r="BC776" i="1"/>
  <c r="AA776" i="1"/>
  <c r="I963" i="1"/>
  <c r="BC1026" i="1"/>
  <c r="AA1026" i="1" s="1"/>
  <c r="BD583" i="1"/>
  <c r="Z583" i="1"/>
  <c r="AQ494" i="1"/>
  <c r="AS471" i="1"/>
  <c r="BC245" i="1"/>
  <c r="Y245" i="1"/>
  <c r="BC127" i="1"/>
  <c r="Y127" i="1" s="1"/>
  <c r="BA740" i="1"/>
  <c r="BC875" i="1"/>
  <c r="AA875" i="1" s="1"/>
  <c r="BD271" i="1"/>
  <c r="Z271" i="1"/>
  <c r="AR776" i="1"/>
  <c r="BC941" i="1"/>
  <c r="AA941" i="1" s="1"/>
  <c r="AN570" i="1"/>
  <c r="J353" i="1"/>
  <c r="AQ219" i="1"/>
  <c r="I810" i="1"/>
  <c r="I1042" i="1"/>
  <c r="BD107" i="1"/>
  <c r="Z107" i="1" s="1"/>
  <c r="AR694" i="1"/>
  <c r="BC694" i="1"/>
  <c r="Y694" i="1"/>
  <c r="AQ128" i="1"/>
  <c r="AX566" i="1"/>
  <c r="AX673" i="1"/>
  <c r="AQ673" i="1"/>
  <c r="AR1045" i="1"/>
  <c r="BC924" i="1"/>
  <c r="AA924" i="1" s="1"/>
  <c r="I919" i="1"/>
  <c r="AR919" i="1"/>
  <c r="AX919" i="1" s="1"/>
  <c r="BD687" i="1"/>
  <c r="Z687" i="1"/>
  <c r="AS687" i="1"/>
  <c r="J687" i="1"/>
  <c r="J517" i="1"/>
  <c r="AS517" i="1"/>
  <c r="AR451" i="1"/>
  <c r="AQ451" i="1" s="1"/>
  <c r="BC451" i="1"/>
  <c r="Y451" i="1"/>
  <c r="I451" i="1"/>
  <c r="I450" i="1" s="1"/>
  <c r="D23" i="2" s="1"/>
  <c r="BD444" i="1"/>
  <c r="Z444" i="1" s="1"/>
  <c r="AS444" i="1"/>
  <c r="BA700" i="1"/>
  <c r="M698" i="1"/>
  <c r="G35" i="2" s="1"/>
  <c r="J541" i="1"/>
  <c r="BD541" i="1"/>
  <c r="Z541" i="1"/>
  <c r="BD534" i="1"/>
  <c r="Z534" i="1" s="1"/>
  <c r="J534" i="1"/>
  <c r="AS534" i="1"/>
  <c r="AX16" i="1"/>
  <c r="AQ16" i="1"/>
  <c r="I212" i="1"/>
  <c r="BD1011" i="1"/>
  <c r="AB1011" i="1" s="1"/>
  <c r="J1011" i="1"/>
  <c r="AS1011" i="1"/>
  <c r="AQ1011" i="1" s="1"/>
  <c r="BC934" i="1"/>
  <c r="AA934" i="1" s="1"/>
  <c r="I934" i="1"/>
  <c r="AR934" i="1"/>
  <c r="AS878" i="1"/>
  <c r="BD878" i="1"/>
  <c r="AB878" i="1"/>
  <c r="BC808" i="1"/>
  <c r="AA808" i="1" s="1"/>
  <c r="AR808" i="1"/>
  <c r="I808" i="1"/>
  <c r="AG807" i="1"/>
  <c r="AS801" i="1"/>
  <c r="BD801" i="1"/>
  <c r="AB801" i="1"/>
  <c r="AX724" i="1"/>
  <c r="AS713" i="1"/>
  <c r="BD713" i="1"/>
  <c r="Z713" i="1" s="1"/>
  <c r="J713" i="1"/>
  <c r="AS705" i="1"/>
  <c r="AX705" i="1" s="1"/>
  <c r="BD705" i="1"/>
  <c r="Z705" i="1"/>
  <c r="J705" i="1"/>
  <c r="I402" i="1"/>
  <c r="BC402" i="1"/>
  <c r="Y402" i="1"/>
  <c r="AR402" i="1"/>
  <c r="AX402" i="1" s="1"/>
  <c r="I319" i="1"/>
  <c r="AR319" i="1"/>
  <c r="BC302" i="1"/>
  <c r="Y302" i="1" s="1"/>
  <c r="AR302" i="1"/>
  <c r="BD88" i="1"/>
  <c r="Z88" i="1" s="1"/>
  <c r="J88" i="1"/>
  <c r="M74" i="1"/>
  <c r="G14" i="2"/>
  <c r="AQ82" i="1"/>
  <c r="I694" i="1"/>
  <c r="I693" i="1" s="1"/>
  <c r="D33" i="2" s="1"/>
  <c r="BD601" i="1"/>
  <c r="Z601" i="1"/>
  <c r="J601" i="1"/>
  <c r="AS601" i="1"/>
  <c r="I227" i="1"/>
  <c r="BC227" i="1"/>
  <c r="Y227" i="1"/>
  <c r="AR227" i="1"/>
  <c r="J943" i="1"/>
  <c r="BD943" i="1"/>
  <c r="AB943" i="1"/>
  <c r="J828" i="1"/>
  <c r="BD828" i="1"/>
  <c r="AB828" i="1" s="1"/>
  <c r="J729" i="1"/>
  <c r="AS729" i="1"/>
  <c r="AS617" i="1"/>
  <c r="AX617" i="1"/>
  <c r="BD617" i="1"/>
  <c r="Z617" i="1" s="1"/>
  <c r="BA605" i="1"/>
  <c r="M571" i="1"/>
  <c r="G28" i="2"/>
  <c r="BA560" i="1"/>
  <c r="AR556" i="1"/>
  <c r="AX556" i="1"/>
  <c r="I556" i="1"/>
  <c r="BC550" i="1"/>
  <c r="Y550" i="1" s="1"/>
  <c r="I550" i="1"/>
  <c r="AR550" i="1"/>
  <c r="AG549" i="1"/>
  <c r="AO452" i="1"/>
  <c r="BD30" i="1"/>
  <c r="AB30" i="1" s="1"/>
  <c r="AS30" i="1"/>
  <c r="AQ30" i="1" s="1"/>
  <c r="J30" i="1"/>
  <c r="BD19" i="1"/>
  <c r="AB19" i="1" s="1"/>
  <c r="J19" i="1"/>
  <c r="BA18" i="1"/>
  <c r="M12" i="1"/>
  <c r="G11" i="2" s="1"/>
  <c r="AX800" i="1"/>
  <c r="AQ800" i="1"/>
  <c r="J701" i="1"/>
  <c r="AS701" i="1"/>
  <c r="BD701" i="1"/>
  <c r="Z701" i="1"/>
  <c r="AX316" i="1"/>
  <c r="AS477" i="1"/>
  <c r="AQ477" i="1" s="1"/>
  <c r="BD477" i="1"/>
  <c r="Z477" i="1"/>
  <c r="J410" i="1"/>
  <c r="AS410" i="1"/>
  <c r="J340" i="1"/>
  <c r="BD340" i="1"/>
  <c r="Z340" i="1" s="1"/>
  <c r="AS340" i="1"/>
  <c r="AX352" i="1"/>
  <c r="AQ352" i="1"/>
  <c r="BD959" i="1"/>
  <c r="AB959" i="1"/>
  <c r="AS959" i="1"/>
  <c r="J959" i="1"/>
  <c r="BD893" i="1"/>
  <c r="AB893" i="1" s="1"/>
  <c r="AS893" i="1"/>
  <c r="AQ893" i="1"/>
  <c r="J893" i="1"/>
  <c r="BC838" i="1"/>
  <c r="AA838" i="1"/>
  <c r="I838" i="1"/>
  <c r="AR833" i="1"/>
  <c r="I833" i="1"/>
  <c r="BC833" i="1"/>
  <c r="AA833" i="1"/>
  <c r="AS750" i="1"/>
  <c r="AX750" i="1"/>
  <c r="BD750" i="1"/>
  <c r="AR628" i="1"/>
  <c r="BC628" i="1"/>
  <c r="Y628" i="1" s="1"/>
  <c r="G27" i="2"/>
  <c r="BC499" i="1"/>
  <c r="Y499" i="1" s="1"/>
  <c r="AR499" i="1"/>
  <c r="I499" i="1"/>
  <c r="AG498" i="1"/>
  <c r="BD488" i="1"/>
  <c r="Z488" i="1" s="1"/>
  <c r="J488" i="1"/>
  <c r="AR231" i="1"/>
  <c r="BC231" i="1"/>
  <c r="Y231" i="1"/>
  <c r="I231" i="1"/>
  <c r="AR40" i="1"/>
  <c r="I40" i="1"/>
  <c r="BC40" i="1"/>
  <c r="AA40" i="1"/>
  <c r="BA540" i="1"/>
  <c r="M537" i="1"/>
  <c r="G25" i="2" s="1"/>
  <c r="BC457" i="1"/>
  <c r="Y457" i="1"/>
  <c r="AR457" i="1"/>
  <c r="BD396" i="1"/>
  <c r="Z396" i="1"/>
  <c r="J396" i="1"/>
  <c r="AS396" i="1"/>
  <c r="AQ396" i="1" s="1"/>
  <c r="AX314" i="1"/>
  <c r="AQ472" i="1"/>
  <c r="AX472" i="1"/>
  <c r="AS898" i="1"/>
  <c r="J898" i="1"/>
  <c r="J859" i="1"/>
  <c r="BD859" i="1"/>
  <c r="AB859" i="1"/>
  <c r="AS859" i="1"/>
  <c r="BC854" i="1"/>
  <c r="AA854" i="1" s="1"/>
  <c r="I854" i="1"/>
  <c r="AR854" i="1"/>
  <c r="AQ854" i="1"/>
  <c r="BD848" i="1"/>
  <c r="AB848" i="1"/>
  <c r="AS848" i="1"/>
  <c r="J848" i="1"/>
  <c r="BD649" i="1"/>
  <c r="Z649" i="1" s="1"/>
  <c r="J649" i="1"/>
  <c r="AS649" i="1"/>
  <c r="AG572" i="1"/>
  <c r="BD503" i="1"/>
  <c r="Z503" i="1"/>
  <c r="J503" i="1"/>
  <c r="AQ420" i="1"/>
  <c r="I415" i="1"/>
  <c r="AR415" i="1"/>
  <c r="AX415" i="1"/>
  <c r="BC415" i="1"/>
  <c r="Y415" i="1"/>
  <c r="J354" i="1"/>
  <c r="AS354" i="1"/>
  <c r="BD354" i="1"/>
  <c r="Z354" i="1" s="1"/>
  <c r="AR50" i="1"/>
  <c r="BC50" i="1"/>
  <c r="AA50" i="1" s="1"/>
  <c r="I50" i="1"/>
  <c r="BC45" i="1"/>
  <c r="AA45" i="1"/>
  <c r="I45" i="1"/>
  <c r="J969" i="1"/>
  <c r="BD969" i="1"/>
  <c r="AB969" i="1"/>
  <c r="AS969" i="1"/>
  <c r="J865" i="1"/>
  <c r="BD865" i="1"/>
  <c r="AB865" i="1"/>
  <c r="BA756" i="1"/>
  <c r="M755" i="1"/>
  <c r="G49" i="2"/>
  <c r="BC654" i="1"/>
  <c r="Y654" i="1" s="1"/>
  <c r="AR654" i="1"/>
  <c r="AG653" i="1"/>
  <c r="BC577" i="1"/>
  <c r="Y577" i="1" s="1"/>
  <c r="AR577" i="1"/>
  <c r="J430" i="1"/>
  <c r="BD430" i="1"/>
  <c r="Z430" i="1" s="1"/>
  <c r="AG371" i="1"/>
  <c r="BC123" i="1"/>
  <c r="Y123" i="1"/>
  <c r="AR123" i="1"/>
  <c r="BA117" i="1"/>
  <c r="M98" i="1"/>
  <c r="G17" i="2"/>
  <c r="BA64" i="1"/>
  <c r="M53" i="1"/>
  <c r="G12" i="2"/>
  <c r="BC61" i="1"/>
  <c r="W61" i="1" s="1"/>
  <c r="AR61" i="1"/>
  <c r="AX61" i="1"/>
  <c r="I61" i="1"/>
  <c r="BC56" i="1"/>
  <c r="W56" i="1"/>
  <c r="AR56" i="1"/>
  <c r="AQ56" i="1" s="1"/>
  <c r="I56" i="1"/>
  <c r="AG55" i="1"/>
  <c r="BC908" i="1"/>
  <c r="AA908" i="1"/>
  <c r="I908" i="1"/>
  <c r="AS756" i="1"/>
  <c r="AQ756" i="1"/>
  <c r="BD756" i="1"/>
  <c r="J756" i="1"/>
  <c r="J755" i="1" s="1"/>
  <c r="E49" i="2" s="1"/>
  <c r="J659" i="1"/>
  <c r="AS659" i="1"/>
  <c r="BD659" i="1"/>
  <c r="Z659" i="1"/>
  <c r="I508" i="1"/>
  <c r="BC508" i="1"/>
  <c r="Y508" i="1" s="1"/>
  <c r="J371" i="1"/>
  <c r="AS371" i="1"/>
  <c r="BC278" i="1"/>
  <c r="Y278" i="1"/>
  <c r="I278" i="1"/>
  <c r="AS255" i="1"/>
  <c r="BD255" i="1"/>
  <c r="Z255" i="1" s="1"/>
  <c r="J255" i="1"/>
  <c r="I165" i="1"/>
  <c r="AR165" i="1"/>
  <c r="J159" i="1"/>
  <c r="AS159" i="1"/>
  <c r="AS154" i="1"/>
  <c r="AQ154" i="1" s="1"/>
  <c r="BD154" i="1"/>
  <c r="Z154" i="1" s="1"/>
  <c r="AR150" i="1"/>
  <c r="BC150" i="1"/>
  <c r="Y150" i="1" s="1"/>
  <c r="I150" i="1"/>
  <c r="AG149" i="1"/>
  <c r="AS144" i="1"/>
  <c r="AX144" i="1" s="1"/>
  <c r="BD144" i="1"/>
  <c r="Z144" i="1"/>
  <c r="BA137" i="1"/>
  <c r="M132" i="1"/>
  <c r="G18" i="2" s="1"/>
  <c r="AR985" i="1"/>
  <c r="I985" i="1"/>
  <c r="BC985" i="1"/>
  <c r="AA985" i="1" s="1"/>
  <c r="AR764" i="1"/>
  <c r="AQ764" i="1"/>
  <c r="BC764" i="1"/>
  <c r="AA764" i="1" s="1"/>
  <c r="I764" i="1"/>
  <c r="I763" i="1"/>
  <c r="D53" i="2" s="1"/>
  <c r="J513" i="1"/>
  <c r="BD513" i="1"/>
  <c r="Z513" i="1"/>
  <c r="AS513" i="1"/>
  <c r="BD434" i="1"/>
  <c r="Z434" i="1"/>
  <c r="J434" i="1"/>
  <c r="AS434" i="1"/>
  <c r="BC283" i="1"/>
  <c r="Y283" i="1"/>
  <c r="I283" i="1"/>
  <c r="BA180" i="1"/>
  <c r="M142" i="1"/>
  <c r="G19" i="2"/>
  <c r="BC77" i="1"/>
  <c r="W77" i="1" s="1"/>
  <c r="AR77" i="1"/>
  <c r="BC914" i="1"/>
  <c r="AA914" i="1"/>
  <c r="AR914" i="1"/>
  <c r="AS675" i="1"/>
  <c r="BD675" i="1"/>
  <c r="Z675" i="1"/>
  <c r="J675" i="1"/>
  <c r="J597" i="1"/>
  <c r="AS597" i="1"/>
  <c r="BC392" i="1"/>
  <c r="Y392" i="1" s="1"/>
  <c r="I392" i="1"/>
  <c r="BC293" i="1"/>
  <c r="Y293" i="1" s="1"/>
  <c r="BC193" i="1"/>
  <c r="Y193" i="1" s="1"/>
  <c r="I193" i="1"/>
  <c r="AR193" i="1"/>
  <c r="AG192" i="1"/>
  <c r="J1024" i="1"/>
  <c r="AR874" i="1"/>
  <c r="AX874" i="1"/>
  <c r="AR545" i="1"/>
  <c r="AS461" i="1"/>
  <c r="BC353" i="1"/>
  <c r="Y353" i="1"/>
  <c r="BD292" i="1"/>
  <c r="Z292" i="1"/>
  <c r="AX567" i="1"/>
  <c r="I948" i="1"/>
  <c r="AS1034" i="1"/>
  <c r="AS886" i="1"/>
  <c r="AR775" i="1"/>
  <c r="AX775" i="1"/>
  <c r="AS600" i="1"/>
  <c r="BD487" i="1"/>
  <c r="Z487" i="1"/>
  <c r="BD461" i="1"/>
  <c r="Z461" i="1" s="1"/>
  <c r="BC948" i="1"/>
  <c r="AA948" i="1"/>
  <c r="J903" i="1"/>
  <c r="J994" i="1"/>
  <c r="BD918" i="1"/>
  <c r="AB918" i="1"/>
  <c r="AR938" i="1"/>
  <c r="I680" i="1"/>
  <c r="AS668" i="1"/>
  <c r="BD590" i="1"/>
  <c r="Z590" i="1" s="1"/>
  <c r="AS322" i="1"/>
  <c r="AX322" i="1"/>
  <c r="AS220" i="1"/>
  <c r="AQ220" i="1" s="1"/>
  <c r="I1015" i="1"/>
  <c r="BC969" i="1"/>
  <c r="AA969" i="1"/>
  <c r="AX494" i="1"/>
  <c r="AS918" i="1"/>
  <c r="J1043" i="1"/>
  <c r="J38" i="1"/>
  <c r="AR964" i="1"/>
  <c r="BC603" i="1"/>
  <c r="Y603" i="1"/>
  <c r="AR470" i="1"/>
  <c r="J374" i="1"/>
  <c r="BC209" i="1"/>
  <c r="Y209" i="1"/>
  <c r="AS933" i="1"/>
  <c r="I964" i="1"/>
  <c r="AS885" i="1"/>
  <c r="BC880" i="1"/>
  <c r="AA880" i="1"/>
  <c r="BD861" i="1"/>
  <c r="AB861" i="1"/>
  <c r="AS464" i="1"/>
  <c r="AQ464" i="1"/>
  <c r="AS436" i="1"/>
  <c r="BD432" i="1"/>
  <c r="Z432" i="1"/>
  <c r="J933" i="1"/>
  <c r="AR969" i="1"/>
  <c r="AQ969" i="1"/>
  <c r="J1040" i="1"/>
  <c r="AS1017" i="1"/>
  <c r="AS966" i="1"/>
  <c r="AX966" i="1" s="1"/>
  <c r="BC931" i="1"/>
  <c r="AA931" i="1"/>
  <c r="BD894" i="1"/>
  <c r="AB894" i="1"/>
  <c r="AR867" i="1"/>
  <c r="AX867" i="1" s="1"/>
  <c r="AR825" i="1"/>
  <c r="I579" i="1"/>
  <c r="BD307" i="1"/>
  <c r="Z307" i="1"/>
  <c r="J303" i="1"/>
  <c r="AS311" i="1"/>
  <c r="I209" i="1"/>
  <c r="J177" i="1"/>
  <c r="AX691" i="1"/>
  <c r="I953" i="1"/>
  <c r="BC874" i="1"/>
  <c r="AA874" i="1"/>
  <c r="I644" i="1"/>
  <c r="AR514" i="1"/>
  <c r="AX514" i="1"/>
  <c r="J407" i="1"/>
  <c r="BC383" i="1"/>
  <c r="Y383" i="1" s="1"/>
  <c r="BD311" i="1"/>
  <c r="Z311" i="1"/>
  <c r="BC232" i="1"/>
  <c r="Y232" i="1" s="1"/>
  <c r="I228" i="1"/>
  <c r="AR84" i="1"/>
  <c r="BD77" i="1"/>
  <c r="X77" i="1" s="1"/>
  <c r="AQ299" i="1"/>
  <c r="AS994" i="1"/>
  <c r="BC953" i="1"/>
  <c r="AA953" i="1" s="1"/>
  <c r="AS1043" i="1"/>
  <c r="I844" i="1"/>
  <c r="BC701" i="1"/>
  <c r="Y701" i="1" s="1"/>
  <c r="AS392" i="1"/>
  <c r="AQ234" i="1"/>
  <c r="AQ567" i="1"/>
  <c r="J617" i="1"/>
  <c r="I970" i="1"/>
  <c r="AR970" i="1"/>
  <c r="BC970" i="1"/>
  <c r="AA970" i="1" s="1"/>
  <c r="J829" i="1"/>
  <c r="AS829" i="1"/>
  <c r="AG738" i="1"/>
  <c r="AP737" i="1" s="1"/>
  <c r="K737" i="1"/>
  <c r="F40" i="2" s="1"/>
  <c r="I40" i="2" s="1"/>
  <c r="BC525" i="1"/>
  <c r="Y525" i="1"/>
  <c r="AR525" i="1"/>
  <c r="I268" i="1"/>
  <c r="AR268" i="1"/>
  <c r="I904" i="1"/>
  <c r="AR904" i="1"/>
  <c r="BC904" i="1"/>
  <c r="AA904" i="1"/>
  <c r="BC796" i="1"/>
  <c r="AA796" i="1" s="1"/>
  <c r="I796" i="1"/>
  <c r="BC660" i="1"/>
  <c r="Y660" i="1"/>
  <c r="I660" i="1"/>
  <c r="J612" i="1"/>
  <c r="BD612" i="1"/>
  <c r="Z612" i="1"/>
  <c r="BD1010" i="1"/>
  <c r="AB1010" i="1" s="1"/>
  <c r="J1010" i="1"/>
  <c r="I974" i="1"/>
  <c r="BC677" i="1"/>
  <c r="Y677" i="1" s="1"/>
  <c r="AR677" i="1"/>
  <c r="AR671" i="1"/>
  <c r="AX671" i="1" s="1"/>
  <c r="BC671" i="1"/>
  <c r="Y671" i="1"/>
  <c r="I979" i="1"/>
  <c r="BC979" i="1"/>
  <c r="AA979" i="1" s="1"/>
  <c r="AR979" i="1"/>
  <c r="BA686" i="1"/>
  <c r="M683" i="1"/>
  <c r="G32" i="2" s="1"/>
  <c r="AG113" i="1"/>
  <c r="AX185" i="1"/>
  <c r="AX492" i="1"/>
  <c r="AX51" i="1"/>
  <c r="BC591" i="1"/>
  <c r="Y591" i="1"/>
  <c r="AR591" i="1"/>
  <c r="AX107" i="1"/>
  <c r="AR886" i="1"/>
  <c r="AQ886" i="1" s="1"/>
  <c r="BC886" i="1"/>
  <c r="AA886" i="1" s="1"/>
  <c r="I886" i="1"/>
  <c r="J997" i="1"/>
  <c r="AS997" i="1"/>
  <c r="AR891" i="1"/>
  <c r="BC891" i="1"/>
  <c r="AA891" i="1"/>
  <c r="BD778" i="1"/>
  <c r="AB778" i="1" s="1"/>
  <c r="AS778" i="1"/>
  <c r="BC253" i="1"/>
  <c r="Y253" i="1"/>
  <c r="I253" i="1"/>
  <c r="AS1006" i="1"/>
  <c r="J1006" i="1"/>
  <c r="BD1006" i="1"/>
  <c r="AB1006" i="1"/>
  <c r="AS850" i="1"/>
  <c r="BD850" i="1"/>
  <c r="AB850" i="1"/>
  <c r="J715" i="1"/>
  <c r="BD715" i="1"/>
  <c r="Z715" i="1"/>
  <c r="AS970" i="1"/>
  <c r="J970" i="1"/>
  <c r="BC787" i="1"/>
  <c r="AA787" i="1"/>
  <c r="AG721" i="1"/>
  <c r="BD519" i="1"/>
  <c r="Z519" i="1"/>
  <c r="AS519" i="1"/>
  <c r="AQ519" i="1" s="1"/>
  <c r="BD479" i="1"/>
  <c r="Z479" i="1"/>
  <c r="AS479" i="1"/>
  <c r="BD644" i="1"/>
  <c r="Z644" i="1"/>
  <c r="AS590" i="1"/>
  <c r="AQ590" i="1" s="1"/>
  <c r="BC501" i="1"/>
  <c r="Y501" i="1"/>
  <c r="BC465" i="1"/>
  <c r="Y465" i="1"/>
  <c r="AR436" i="1"/>
  <c r="AS262" i="1"/>
  <c r="AS235" i="1"/>
  <c r="BC228" i="1"/>
  <c r="Y228" i="1"/>
  <c r="BC89" i="1"/>
  <c r="Y89" i="1" s="1"/>
  <c r="BD69" i="1"/>
  <c r="X69" i="1" s="1"/>
  <c r="BD52" i="1"/>
  <c r="AB52" i="1"/>
  <c r="J769" i="1"/>
  <c r="AS306" i="1"/>
  <c r="AQ306" i="1"/>
  <c r="J235" i="1"/>
  <c r="BC178" i="1"/>
  <c r="Y178" i="1" s="1"/>
  <c r="BD125" i="1"/>
  <c r="Z125" i="1"/>
  <c r="BD100" i="1"/>
  <c r="Z100" i="1"/>
  <c r="BD1034" i="1"/>
  <c r="AB1034" i="1"/>
  <c r="I938" i="1"/>
  <c r="AR781" i="1"/>
  <c r="AG736" i="1"/>
  <c r="AP735" i="1"/>
  <c r="AS532" i="1"/>
  <c r="AR501" i="1"/>
  <c r="AQ501" i="1"/>
  <c r="BD251" i="1"/>
  <c r="Z251" i="1"/>
  <c r="AS861" i="1"/>
  <c r="I630" i="1"/>
  <c r="AS560" i="1"/>
  <c r="BD527" i="1"/>
  <c r="Z527" i="1"/>
  <c r="BC503" i="1"/>
  <c r="Y503" i="1"/>
  <c r="J306" i="1"/>
  <c r="J18" i="1"/>
  <c r="BD1036" i="1"/>
  <c r="AB1036" i="1"/>
  <c r="BC1003" i="1"/>
  <c r="AA1003" i="1"/>
  <c r="AR916" i="1"/>
  <c r="AR861" i="1"/>
  <c r="BC597" i="1"/>
  <c r="Y597" i="1" s="1"/>
  <c r="BD560" i="1"/>
  <c r="Z560" i="1"/>
  <c r="AS446" i="1"/>
  <c r="AR358" i="1"/>
  <c r="AX358" i="1"/>
  <c r="BD73" i="1"/>
  <c r="X73" i="1"/>
  <c r="I950" i="1"/>
  <c r="BD868" i="1"/>
  <c r="AB868" i="1"/>
  <c r="BD804" i="1"/>
  <c r="AB804" i="1"/>
  <c r="AS503" i="1"/>
  <c r="BD481" i="1"/>
  <c r="Z481" i="1"/>
  <c r="AR856" i="1"/>
  <c r="AR503" i="1"/>
  <c r="BD374" i="1"/>
  <c r="Z374" i="1" s="1"/>
  <c r="BD341" i="1"/>
  <c r="Z341" i="1"/>
  <c r="BD320" i="1"/>
  <c r="Z320" i="1" s="1"/>
  <c r="BD289" i="1"/>
  <c r="Z289" i="1"/>
  <c r="I788" i="1"/>
  <c r="AS475" i="1"/>
  <c r="AQ475" i="1"/>
  <c r="AR370" i="1"/>
  <c r="AX370" i="1"/>
  <c r="BD241" i="1"/>
  <c r="Z241" i="1" s="1"/>
  <c r="BD197" i="1"/>
  <c r="Z197" i="1"/>
  <c r="AS833" i="1"/>
  <c r="AR818" i="1"/>
  <c r="I711" i="1"/>
  <c r="J445" i="1"/>
  <c r="BD386" i="1"/>
  <c r="Z386" i="1" s="1"/>
  <c r="AS229" i="1"/>
  <c r="J205" i="1"/>
  <c r="AR461" i="1"/>
  <c r="AQ461" i="1"/>
  <c r="AX1042" i="1"/>
  <c r="AQ1042" i="1"/>
  <c r="AX59" i="1"/>
  <c r="I813" i="1"/>
  <c r="AR813" i="1"/>
  <c r="AX813" i="1"/>
  <c r="AG742" i="1"/>
  <c r="AP741" i="1"/>
  <c r="AS584" i="1"/>
  <c r="J584" i="1"/>
  <c r="AS1036" i="1"/>
  <c r="AX1036" i="1" s="1"/>
  <c r="J895" i="1"/>
  <c r="AS895" i="1"/>
  <c r="AR837" i="1"/>
  <c r="BC837" i="1"/>
  <c r="AA837" i="1"/>
  <c r="J724" i="1"/>
  <c r="BD724" i="1"/>
  <c r="Z724" i="1"/>
  <c r="I657" i="1"/>
  <c r="AR657" i="1"/>
  <c r="BC657" i="1"/>
  <c r="Y657" i="1" s="1"/>
  <c r="AS623" i="1"/>
  <c r="J623" i="1"/>
  <c r="AS35" i="1"/>
  <c r="BD35" i="1"/>
  <c r="AB35" i="1" s="1"/>
  <c r="J35" i="1"/>
  <c r="BC965" i="1"/>
  <c r="AA965" i="1"/>
  <c r="BC895" i="1"/>
  <c r="AA895" i="1" s="1"/>
  <c r="AR895" i="1"/>
  <c r="AQ895" i="1" s="1"/>
  <c r="I855" i="1"/>
  <c r="AR855" i="1"/>
  <c r="AX855" i="1" s="1"/>
  <c r="BC855" i="1"/>
  <c r="AA855" i="1" s="1"/>
  <c r="I101" i="1"/>
  <c r="AR101" i="1"/>
  <c r="I66" i="1"/>
  <c r="AR66" i="1"/>
  <c r="AQ66" i="1" s="1"/>
  <c r="BC974" i="1"/>
  <c r="AA974" i="1"/>
  <c r="J221" i="1"/>
  <c r="BD221" i="1"/>
  <c r="Z221" i="1" s="1"/>
  <c r="AQ527" i="1"/>
  <c r="BC1025" i="1"/>
  <c r="AA1025" i="1" s="1"/>
  <c r="AR965" i="1"/>
  <c r="I898" i="1"/>
  <c r="AR796" i="1"/>
  <c r="AS727" i="1"/>
  <c r="I542" i="1"/>
  <c r="AR542" i="1"/>
  <c r="BC542" i="1"/>
  <c r="Y542" i="1" s="1"/>
  <c r="BC407" i="1"/>
  <c r="Y407" i="1"/>
  <c r="I248" i="1"/>
  <c r="BC248" i="1"/>
  <c r="Y248" i="1" s="1"/>
  <c r="AR1012" i="1"/>
  <c r="BC983" i="1"/>
  <c r="AA983" i="1" s="1"/>
  <c r="J858" i="1"/>
  <c r="BD858" i="1"/>
  <c r="AB858" i="1"/>
  <c r="J277" i="1"/>
  <c r="AR1038" i="1"/>
  <c r="AS1024" i="1"/>
  <c r="I968" i="1"/>
  <c r="BD952" i="1"/>
  <c r="AB952" i="1"/>
  <c r="BC549" i="1"/>
  <c r="Y549" i="1"/>
  <c r="AR549" i="1"/>
  <c r="BC507" i="1"/>
  <c r="Y507" i="1"/>
  <c r="AR507" i="1"/>
  <c r="AR458" i="1"/>
  <c r="AX458" i="1"/>
  <c r="J203" i="1"/>
  <c r="BD203" i="1"/>
  <c r="Z203" i="1" s="1"/>
  <c r="AX217" i="1"/>
  <c r="AR1044" i="1"/>
  <c r="AS1041" i="1"/>
  <c r="AR1003" i="1"/>
  <c r="AS552" i="1"/>
  <c r="AQ552" i="1" s="1"/>
  <c r="BD552" i="1"/>
  <c r="Z552" i="1" s="1"/>
  <c r="AR462" i="1"/>
  <c r="BC462" i="1"/>
  <c r="Y462" i="1" s="1"/>
  <c r="J309" i="1"/>
  <c r="AS309" i="1"/>
  <c r="AX309" i="1" s="1"/>
  <c r="BD309" i="1"/>
  <c r="Z309" i="1" s="1"/>
  <c r="BD239" i="1"/>
  <c r="Z239" i="1"/>
  <c r="J239" i="1"/>
  <c r="AS29" i="1"/>
  <c r="BD29" i="1"/>
  <c r="AB29" i="1" s="1"/>
  <c r="J888" i="1"/>
  <c r="BD888" i="1"/>
  <c r="AB888" i="1" s="1"/>
  <c r="I139" i="1"/>
  <c r="AR139" i="1"/>
  <c r="AQ139" i="1" s="1"/>
  <c r="BC139" i="1"/>
  <c r="Y139" i="1" s="1"/>
  <c r="AS982" i="1"/>
  <c r="AR908" i="1"/>
  <c r="J721" i="1"/>
  <c r="BD721" i="1"/>
  <c r="Z721" i="1" s="1"/>
  <c r="AR1035" i="1"/>
  <c r="BD465" i="1"/>
  <c r="Z465" i="1"/>
  <c r="AS465" i="1"/>
  <c r="AQ409" i="1"/>
  <c r="BD584" i="1"/>
  <c r="Z584" i="1" s="1"/>
  <c r="J494" i="1"/>
  <c r="BD494" i="1"/>
  <c r="Z494" i="1" s="1"/>
  <c r="BD358" i="1"/>
  <c r="Z358" i="1" s="1"/>
  <c r="BD343" i="1"/>
  <c r="Z343" i="1"/>
  <c r="J322" i="1"/>
  <c r="AR279" i="1"/>
  <c r="AX279" i="1"/>
  <c r="AR265" i="1"/>
  <c r="AQ265" i="1" s="1"/>
  <c r="BD238" i="1"/>
  <c r="Z238" i="1" s="1"/>
  <c r="BD226" i="1"/>
  <c r="Z226" i="1" s="1"/>
  <c r="BD114" i="1"/>
  <c r="Z114" i="1"/>
  <c r="BC86" i="1"/>
  <c r="Y86" i="1" s="1"/>
  <c r="AS313" i="1"/>
  <c r="AQ313" i="1" s="1"/>
  <c r="AR258" i="1"/>
  <c r="AQ258" i="1" s="1"/>
  <c r="BD89" i="1"/>
  <c r="Z89" i="1"/>
  <c r="BC843" i="1"/>
  <c r="AA843" i="1"/>
  <c r="AR804" i="1"/>
  <c r="J750" i="1"/>
  <c r="J749" i="1"/>
  <c r="E46" i="2" s="1"/>
  <c r="AS726" i="1"/>
  <c r="AQ726" i="1"/>
  <c r="AR710" i="1"/>
  <c r="BD702" i="1"/>
  <c r="Z702" i="1" s="1"/>
  <c r="BC686" i="1"/>
  <c r="Y686" i="1"/>
  <c r="J684" i="1"/>
  <c r="BD629" i="1"/>
  <c r="Z629" i="1"/>
  <c r="AS509" i="1"/>
  <c r="AQ509" i="1" s="1"/>
  <c r="BD485" i="1"/>
  <c r="Z485" i="1" s="1"/>
  <c r="BD360" i="1"/>
  <c r="Z360" i="1"/>
  <c r="J316" i="1"/>
  <c r="BC265" i="1"/>
  <c r="Y265" i="1"/>
  <c r="AS238" i="1"/>
  <c r="AQ238" i="1"/>
  <c r="BC205" i="1"/>
  <c r="Y205" i="1" s="1"/>
  <c r="BC181" i="1"/>
  <c r="Y181" i="1" s="1"/>
  <c r="AS178" i="1"/>
  <c r="AR124" i="1"/>
  <c r="AQ124" i="1" s="1"/>
  <c r="AS114" i="1"/>
  <c r="AR86" i="1"/>
  <c r="AX86" i="1" s="1"/>
  <c r="AR922" i="1"/>
  <c r="AS894" i="1"/>
  <c r="J880" i="1"/>
  <c r="M749" i="1"/>
  <c r="G46" i="2" s="1"/>
  <c r="BC661" i="1"/>
  <c r="Y661" i="1" s="1"/>
  <c r="BC614" i="1"/>
  <c r="Y614" i="1"/>
  <c r="I584" i="1"/>
  <c r="AR563" i="1"/>
  <c r="J436" i="1"/>
  <c r="AS430" i="1"/>
  <c r="AX430" i="1" s="1"/>
  <c r="BC301" i="1"/>
  <c r="Y301" i="1" s="1"/>
  <c r="BC272" i="1"/>
  <c r="Y272" i="1"/>
  <c r="BC240" i="1"/>
  <c r="Y240" i="1"/>
  <c r="BD211" i="1"/>
  <c r="Z211" i="1" s="1"/>
  <c r="J185" i="1"/>
  <c r="J154" i="1"/>
  <c r="BC92" i="1"/>
  <c r="Y92" i="1"/>
  <c r="I926" i="1"/>
  <c r="AS760" i="1"/>
  <c r="AQ760" i="1"/>
  <c r="AS606" i="1"/>
  <c r="AX606" i="1"/>
  <c r="J474" i="1"/>
  <c r="AS943" i="1"/>
  <c r="BD882" i="1"/>
  <c r="AB882" i="1" s="1"/>
  <c r="AS303" i="1"/>
  <c r="AX303" i="1"/>
  <c r="BD274" i="1"/>
  <c r="Z274" i="1" s="1"/>
  <c r="AR230" i="1"/>
  <c r="I178" i="1"/>
  <c r="BD157" i="1"/>
  <c r="Z157" i="1" s="1"/>
  <c r="BC54" i="1"/>
  <c r="W54" i="1"/>
  <c r="BC36" i="1"/>
  <c r="AA36" i="1"/>
  <c r="BC922" i="1"/>
  <c r="AA922" i="1"/>
  <c r="BC793" i="1"/>
  <c r="AA793" i="1" s="1"/>
  <c r="I778" i="1"/>
  <c r="J760" i="1"/>
  <c r="J759" i="1" s="1"/>
  <c r="E51" i="2" s="1"/>
  <c r="BD681" i="1"/>
  <c r="Z681" i="1"/>
  <c r="AR661" i="1"/>
  <c r="AR658" i="1"/>
  <c r="BD575" i="1"/>
  <c r="Z575" i="1"/>
  <c r="AS522" i="1"/>
  <c r="BC477" i="1"/>
  <c r="Y477" i="1" s="1"/>
  <c r="AS388" i="1"/>
  <c r="AX388" i="1"/>
  <c r="BC318" i="1"/>
  <c r="Y318" i="1" s="1"/>
  <c r="AS294" i="1"/>
  <c r="AR280" i="1"/>
  <c r="AS197" i="1"/>
  <c r="I127" i="1"/>
  <c r="J113" i="1"/>
  <c r="AR92" i="1"/>
  <c r="AQ92" i="1" s="1"/>
  <c r="BD889" i="1"/>
  <c r="AB889" i="1"/>
  <c r="BD742" i="1"/>
  <c r="AS591" i="1"/>
  <c r="BC491" i="1"/>
  <c r="Y491" i="1"/>
  <c r="BD437" i="1"/>
  <c r="Z437" i="1" s="1"/>
  <c r="BD160" i="1"/>
  <c r="Z160" i="1"/>
  <c r="AS123" i="1"/>
  <c r="AQ123" i="1" s="1"/>
  <c r="AS817" i="1"/>
  <c r="I793" i="1"/>
  <c r="AS630" i="1"/>
  <c r="BD522" i="1"/>
  <c r="Z522" i="1" s="1"/>
  <c r="J392" i="1"/>
  <c r="AX353" i="1"/>
  <c r="AR47" i="1"/>
  <c r="BD16" i="1"/>
  <c r="AB16" i="1" s="1"/>
  <c r="J781" i="1"/>
  <c r="BC584" i="1"/>
  <c r="Y584" i="1" s="1"/>
  <c r="BC264" i="1"/>
  <c r="Y264" i="1"/>
  <c r="BD229" i="1"/>
  <c r="Z229" i="1"/>
  <c r="AS187" i="1"/>
  <c r="BC70" i="1"/>
  <c r="W70" i="1"/>
  <c r="AR434" i="1"/>
  <c r="AQ434" i="1" s="1"/>
  <c r="AR383" i="1"/>
  <c r="BD178" i="1"/>
  <c r="Z178" i="1"/>
  <c r="AX527" i="1"/>
  <c r="AQ78" i="1"/>
  <c r="AQ13" i="1"/>
  <c r="BA836" i="1"/>
  <c r="M802" i="1"/>
  <c r="G55" i="2"/>
  <c r="AG915" i="1"/>
  <c r="AX70" i="1"/>
  <c r="AX146" i="1"/>
  <c r="AX106" i="1"/>
  <c r="BD953" i="1"/>
  <c r="AB953" i="1" s="1"/>
  <c r="AS953" i="1"/>
  <c r="J953" i="1"/>
  <c r="AQ80" i="1"/>
  <c r="AQ492" i="1"/>
  <c r="BC994" i="1"/>
  <c r="AA994" i="1"/>
  <c r="I994" i="1"/>
  <c r="BC990" i="1"/>
  <c r="AA990" i="1"/>
  <c r="AR990" i="1"/>
  <c r="AQ990" i="1"/>
  <c r="I990" i="1"/>
  <c r="BD983" i="1"/>
  <c r="AB983" i="1"/>
  <c r="J983" i="1"/>
  <c r="BD915" i="1"/>
  <c r="AB915" i="1"/>
  <c r="AS915" i="1"/>
  <c r="J915" i="1"/>
  <c r="AQ341" i="1"/>
  <c r="J1003" i="1"/>
  <c r="AS1003" i="1"/>
  <c r="BD1003" i="1"/>
  <c r="AB1003" i="1" s="1"/>
  <c r="AQ45" i="1"/>
  <c r="BD1035" i="1"/>
  <c r="AB1035" i="1"/>
  <c r="AS1035" i="1"/>
  <c r="J1035" i="1"/>
  <c r="AS1031" i="1"/>
  <c r="BD1031" i="1"/>
  <c r="AB1031" i="1" s="1"/>
  <c r="AQ548" i="1"/>
  <c r="AS991" i="1"/>
  <c r="AX991" i="1" s="1"/>
  <c r="AR1041" i="1"/>
  <c r="AX1041" i="1"/>
  <c r="I1041" i="1"/>
  <c r="AR1032" i="1"/>
  <c r="BC1032" i="1"/>
  <c r="AA1032" i="1" s="1"/>
  <c r="J990" i="1"/>
  <c r="AS990" i="1"/>
  <c r="AR978" i="1"/>
  <c r="BC978" i="1"/>
  <c r="AA978" i="1" s="1"/>
  <c r="J892" i="1"/>
  <c r="BD892" i="1"/>
  <c r="AB892" i="1" s="1"/>
  <c r="AS892" i="1"/>
  <c r="AR727" i="1"/>
  <c r="I727" i="1"/>
  <c r="BC1011" i="1"/>
  <c r="AA1011" i="1" s="1"/>
  <c r="AS968" i="1"/>
  <c r="BD968" i="1"/>
  <c r="AB968" i="1" s="1"/>
  <c r="J961" i="1"/>
  <c r="BD961" i="1"/>
  <c r="AB961" i="1" s="1"/>
  <c r="AS891" i="1"/>
  <c r="BD891" i="1"/>
  <c r="AB891" i="1"/>
  <c r="AS723" i="1"/>
  <c r="BD723" i="1"/>
  <c r="Z723" i="1"/>
  <c r="AX529" i="1"/>
  <c r="BC1037" i="1"/>
  <c r="AA1037" i="1"/>
  <c r="I1037" i="1"/>
  <c r="AR1037" i="1"/>
  <c r="AR997" i="1"/>
  <c r="BC997" i="1"/>
  <c r="AA997" i="1"/>
  <c r="I997" i="1"/>
  <c r="AR961" i="1"/>
  <c r="BC961" i="1"/>
  <c r="AA961" i="1" s="1"/>
  <c r="I961" i="1"/>
  <c r="AG873" i="1"/>
  <c r="BC771" i="1"/>
  <c r="AA771" i="1"/>
  <c r="I771" i="1"/>
  <c r="AS1023" i="1"/>
  <c r="BD1023" i="1"/>
  <c r="AB1023" i="1" s="1"/>
  <c r="AS989" i="1"/>
  <c r="AX989" i="1"/>
  <c r="BD980" i="1"/>
  <c r="AB980" i="1"/>
  <c r="AS980" i="1"/>
  <c r="BD909" i="1"/>
  <c r="AB909" i="1"/>
  <c r="AS909" i="1"/>
  <c r="J909" i="1"/>
  <c r="AR639" i="1"/>
  <c r="AX639" i="1" s="1"/>
  <c r="BC639" i="1"/>
  <c r="Y639" i="1"/>
  <c r="I639" i="1"/>
  <c r="J1023" i="1"/>
  <c r="I1007" i="1"/>
  <c r="AR1007" i="1"/>
  <c r="BA1006" i="1"/>
  <c r="I989" i="1"/>
  <c r="BC989" i="1"/>
  <c r="AA989" i="1"/>
  <c r="AR980" i="1"/>
  <c r="BC980" i="1"/>
  <c r="AA980" i="1" s="1"/>
  <c r="BC909" i="1"/>
  <c r="AA909" i="1"/>
  <c r="AR909" i="1"/>
  <c r="BD1029" i="1"/>
  <c r="AB1029" i="1"/>
  <c r="AS1029" i="1"/>
  <c r="BC1017" i="1"/>
  <c r="AA1017" i="1" s="1"/>
  <c r="I1017" i="1"/>
  <c r="AR1017" i="1"/>
  <c r="AS992" i="1"/>
  <c r="BD992" i="1"/>
  <c r="AB992" i="1"/>
  <c r="BD964" i="1"/>
  <c r="AB964" i="1"/>
  <c r="J964" i="1"/>
  <c r="AS964" i="1"/>
  <c r="BD949" i="1"/>
  <c r="AB949" i="1" s="1"/>
  <c r="AS949" i="1"/>
  <c r="AR946" i="1"/>
  <c r="AQ946" i="1" s="1"/>
  <c r="I946" i="1"/>
  <c r="AQ1010" i="1"/>
  <c r="AR996" i="1"/>
  <c r="BC996" i="1"/>
  <c r="AA996" i="1" s="1"/>
  <c r="BD976" i="1"/>
  <c r="AB976" i="1"/>
  <c r="AS955" i="1"/>
  <c r="J955" i="1"/>
  <c r="I913" i="1"/>
  <c r="BC913" i="1"/>
  <c r="AA913" i="1"/>
  <c r="AR913" i="1"/>
  <c r="I859" i="1"/>
  <c r="AR859" i="1"/>
  <c r="AX859" i="1" s="1"/>
  <c r="J979" i="1"/>
  <c r="AS979" i="1"/>
  <c r="BC967" i="1"/>
  <c r="AA967" i="1"/>
  <c r="I952" i="1"/>
  <c r="AR952" i="1"/>
  <c r="BC952" i="1"/>
  <c r="AA952" i="1" s="1"/>
  <c r="BD845" i="1"/>
  <c r="AB845" i="1" s="1"/>
  <c r="AS845" i="1"/>
  <c r="AQ845" i="1"/>
  <c r="AG672" i="1"/>
  <c r="BD930" i="1"/>
  <c r="AB930" i="1"/>
  <c r="AS930" i="1"/>
  <c r="AX930" i="1" s="1"/>
  <c r="BC685" i="1"/>
  <c r="Y685" i="1"/>
  <c r="AR538" i="1"/>
  <c r="AQ538" i="1" s="1"/>
  <c r="BC538" i="1"/>
  <c r="Y538" i="1"/>
  <c r="I1019" i="1"/>
  <c r="AR1019" i="1"/>
  <c r="BD1005" i="1"/>
  <c r="AB1005" i="1"/>
  <c r="AS1005" i="1"/>
  <c r="AS984" i="1"/>
  <c r="J984" i="1"/>
  <c r="J972" i="1"/>
  <c r="AS972" i="1"/>
  <c r="AQ972" i="1"/>
  <c r="J904" i="1"/>
  <c r="BD904" i="1"/>
  <c r="AB904" i="1"/>
  <c r="I901" i="1"/>
  <c r="BC901" i="1"/>
  <c r="AA901" i="1"/>
  <c r="AR901" i="1"/>
  <c r="BC868" i="1"/>
  <c r="AA868" i="1" s="1"/>
  <c r="AR868" i="1"/>
  <c r="AQ868" i="1"/>
  <c r="I868" i="1"/>
  <c r="BC824" i="1"/>
  <c r="AA824" i="1"/>
  <c r="I824" i="1"/>
  <c r="AR824" i="1"/>
  <c r="AQ824" i="1" s="1"/>
  <c r="BD391" i="1"/>
  <c r="Z391" i="1"/>
  <c r="J391" i="1"/>
  <c r="AS391" i="1"/>
  <c r="I958" i="1"/>
  <c r="AR958" i="1"/>
  <c r="AX958" i="1" s="1"/>
  <c r="BC944" i="1"/>
  <c r="AA944" i="1"/>
  <c r="I944" i="1"/>
  <c r="BC431" i="1"/>
  <c r="Y431" i="1"/>
  <c r="AR431" i="1"/>
  <c r="BC439" i="1"/>
  <c r="Y439" i="1" s="1"/>
  <c r="AR439" i="1"/>
  <c r="AR943" i="1"/>
  <c r="AQ943" i="1"/>
  <c r="AS877" i="1"/>
  <c r="J796" i="1"/>
  <c r="BD796" i="1"/>
  <c r="AB796" i="1"/>
  <c r="BD566" i="1"/>
  <c r="Z566" i="1" s="1"/>
  <c r="J566" i="1"/>
  <c r="AS394" i="1"/>
  <c r="J394" i="1"/>
  <c r="BD394" i="1"/>
  <c r="Z394" i="1"/>
  <c r="AS1012" i="1"/>
  <c r="AX1012" i="1" s="1"/>
  <c r="AS988" i="1"/>
  <c r="BC916" i="1"/>
  <c r="AA916" i="1"/>
  <c r="AS855" i="1"/>
  <c r="BD855" i="1"/>
  <c r="AB855" i="1"/>
  <c r="J855" i="1"/>
  <c r="I829" i="1"/>
  <c r="AR829" i="1"/>
  <c r="BC666" i="1"/>
  <c r="Y666" i="1"/>
  <c r="BD970" i="1"/>
  <c r="AB970" i="1"/>
  <c r="BC929" i="1"/>
  <c r="AA929" i="1"/>
  <c r="BC919" i="1"/>
  <c r="AA919" i="1" s="1"/>
  <c r="I895" i="1"/>
  <c r="BD877" i="1"/>
  <c r="AB877" i="1" s="1"/>
  <c r="J752" i="1"/>
  <c r="J751" i="1"/>
  <c r="E47" i="2" s="1"/>
  <c r="AS585" i="1"/>
  <c r="AQ585" i="1" s="1"/>
  <c r="J585" i="1"/>
  <c r="I853" i="1"/>
  <c r="BC853" i="1"/>
  <c r="AA853" i="1"/>
  <c r="K733" i="1"/>
  <c r="F38" i="2"/>
  <c r="I38" i="2" s="1"/>
  <c r="AG734" i="1"/>
  <c r="AP733" i="1" s="1"/>
  <c r="J696" i="1"/>
  <c r="AR554" i="1"/>
  <c r="BC554" i="1"/>
  <c r="Y554" i="1"/>
  <c r="I535" i="1"/>
  <c r="BC535" i="1"/>
  <c r="Y535" i="1" s="1"/>
  <c r="AX849" i="1"/>
  <c r="AR1031" i="1"/>
  <c r="BD1018" i="1"/>
  <c r="AB1018" i="1"/>
  <c r="I914" i="1"/>
  <c r="AR910" i="1"/>
  <c r="AS874" i="1"/>
  <c r="BD852" i="1"/>
  <c r="AB852" i="1" s="1"/>
  <c r="AR850" i="1"/>
  <c r="BC850" i="1"/>
  <c r="AA850" i="1"/>
  <c r="BD825" i="1"/>
  <c r="AB825" i="1"/>
  <c r="AS825" i="1"/>
  <c r="J784" i="1"/>
  <c r="AS784" i="1"/>
  <c r="I758" i="1"/>
  <c r="I757" i="1"/>
  <c r="D50" i="2"/>
  <c r="AR758" i="1"/>
  <c r="BC758" i="1"/>
  <c r="BC717" i="1"/>
  <c r="Y717" i="1"/>
  <c r="AR714" i="1"/>
  <c r="BC714" i="1"/>
  <c r="Y714" i="1"/>
  <c r="J846" i="1"/>
  <c r="AS846" i="1"/>
  <c r="I821" i="1"/>
  <c r="AR821" i="1"/>
  <c r="BC821" i="1"/>
  <c r="AA821" i="1" s="1"/>
  <c r="AS803" i="1"/>
  <c r="BD803" i="1"/>
  <c r="AB803" i="1"/>
  <c r="J803" i="1"/>
  <c r="J444" i="1"/>
  <c r="AS414" i="1"/>
  <c r="BD414" i="1"/>
  <c r="Z414" i="1" s="1"/>
  <c r="J414" i="1"/>
  <c r="J852" i="1"/>
  <c r="J843" i="1"/>
  <c r="BD843" i="1"/>
  <c r="AB843" i="1" s="1"/>
  <c r="AS843" i="1"/>
  <c r="AS582" i="1"/>
  <c r="BD582" i="1"/>
  <c r="Z582" i="1"/>
  <c r="J582" i="1"/>
  <c r="AS564" i="1"/>
  <c r="BD564" i="1"/>
  <c r="Z564" i="1" s="1"/>
  <c r="J564" i="1"/>
  <c r="BD426" i="1"/>
  <c r="Z426" i="1" s="1"/>
  <c r="J426" i="1"/>
  <c r="AR852" i="1"/>
  <c r="J654" i="1"/>
  <c r="AS654" i="1"/>
  <c r="AQ654" i="1" s="1"/>
  <c r="BD654" i="1"/>
  <c r="Z654" i="1"/>
  <c r="J928" i="1"/>
  <c r="I843" i="1"/>
  <c r="J736" i="1"/>
  <c r="J735" i="1"/>
  <c r="E39" i="2" s="1"/>
  <c r="BC721" i="1"/>
  <c r="Y721" i="1" s="1"/>
  <c r="I721" i="1"/>
  <c r="BD706" i="1"/>
  <c r="Z706" i="1"/>
  <c r="AS706" i="1"/>
  <c r="AQ706" i="1" s="1"/>
  <c r="J706" i="1"/>
  <c r="I700" i="1"/>
  <c r="AR700" i="1"/>
  <c r="AQ700" i="1"/>
  <c r="BC615" i="1"/>
  <c r="Y615" i="1"/>
  <c r="I615" i="1"/>
  <c r="BD473" i="1"/>
  <c r="Z473" i="1"/>
  <c r="AS473" i="1"/>
  <c r="AQ473" i="1" s="1"/>
  <c r="J473" i="1"/>
  <c r="J456" i="1"/>
  <c r="BD403" i="1"/>
  <c r="Z403" i="1"/>
  <c r="AS403" i="1"/>
  <c r="AR935" i="1"/>
  <c r="AQ935" i="1" s="1"/>
  <c r="AR778" i="1"/>
  <c r="AQ778" i="1"/>
  <c r="I618" i="1"/>
  <c r="AR618" i="1"/>
  <c r="J449" i="1"/>
  <c r="J42" i="1"/>
  <c r="BD42" i="1"/>
  <c r="AB42" i="1" s="1"/>
  <c r="AR315" i="1"/>
  <c r="I315" i="1"/>
  <c r="AR62" i="1"/>
  <c r="AX62" i="1"/>
  <c r="BC62" i="1"/>
  <c r="W62" i="1" s="1"/>
  <c r="J816" i="1"/>
  <c r="BD805" i="1"/>
  <c r="AB805" i="1"/>
  <c r="AS730" i="1"/>
  <c r="AR720" i="1"/>
  <c r="AX720" i="1" s="1"/>
  <c r="AS680" i="1"/>
  <c r="AX680" i="1"/>
  <c r="J668" i="1"/>
  <c r="I588" i="1"/>
  <c r="I414" i="1"/>
  <c r="AR414" i="1"/>
  <c r="AQ414" i="1" s="1"/>
  <c r="BC414" i="1"/>
  <c r="Y414" i="1"/>
  <c r="I297" i="1"/>
  <c r="BC297" i="1"/>
  <c r="Y297" i="1" s="1"/>
  <c r="AG756" i="1"/>
  <c r="AP755" i="1"/>
  <c r="AG710" i="1"/>
  <c r="J680" i="1"/>
  <c r="AS611" i="1"/>
  <c r="AX611" i="1" s="1"/>
  <c r="BD597" i="1"/>
  <c r="Z597" i="1" s="1"/>
  <c r="BD558" i="1"/>
  <c r="Z558" i="1"/>
  <c r="AS553" i="1"/>
  <c r="AX553" i="1" s="1"/>
  <c r="AR532" i="1"/>
  <c r="AQ532" i="1"/>
  <c r="J532" i="1"/>
  <c r="BD516" i="1"/>
  <c r="Z516" i="1" s="1"/>
  <c r="AR509" i="1"/>
  <c r="AR491" i="1"/>
  <c r="AX491" i="1" s="1"/>
  <c r="BD467" i="1"/>
  <c r="Z467" i="1"/>
  <c r="BD462" i="1"/>
  <c r="Z462" i="1" s="1"/>
  <c r="I458" i="1"/>
  <c r="AR448" i="1"/>
  <c r="BD388" i="1"/>
  <c r="Z388" i="1"/>
  <c r="J314" i="1"/>
  <c r="BD314" i="1"/>
  <c r="Z314" i="1"/>
  <c r="J286" i="1"/>
  <c r="AS286" i="1"/>
  <c r="AX286" i="1"/>
  <c r="BD286" i="1"/>
  <c r="Z286" i="1"/>
  <c r="AS145" i="1"/>
  <c r="BD145" i="1"/>
  <c r="Z145" i="1"/>
  <c r="AS488" i="1"/>
  <c r="AS469" i="1"/>
  <c r="BD416" i="1"/>
  <c r="Z416" i="1" s="1"/>
  <c r="I384" i="1"/>
  <c r="AS333" i="1"/>
  <c r="AX333" i="1"/>
  <c r="BD333" i="1"/>
  <c r="Z333" i="1" s="1"/>
  <c r="J800" i="1"/>
  <c r="BD800" i="1"/>
  <c r="AB800" i="1" s="1"/>
  <c r="J812" i="1"/>
  <c r="AR795" i="1"/>
  <c r="AS558" i="1"/>
  <c r="I549" i="1"/>
  <c r="BC511" i="1"/>
  <c r="Y511" i="1"/>
  <c r="BD491" i="1"/>
  <c r="Z491" i="1"/>
  <c r="BD469" i="1"/>
  <c r="Z469" i="1" s="1"/>
  <c r="AS467" i="1"/>
  <c r="BD422" i="1"/>
  <c r="Z422" i="1" s="1"/>
  <c r="BD419" i="1"/>
  <c r="Z419" i="1" s="1"/>
  <c r="I413" i="1"/>
  <c r="AS390" i="1"/>
  <c r="AQ390" i="1" s="1"/>
  <c r="BD22" i="1"/>
  <c r="AB22" i="1" s="1"/>
  <c r="AS22" i="1"/>
  <c r="AX22" i="1"/>
  <c r="BD356" i="1"/>
  <c r="Z356" i="1"/>
  <c r="AS356" i="1"/>
  <c r="BD305" i="1"/>
  <c r="Z305" i="1" s="1"/>
  <c r="J305" i="1"/>
  <c r="AR289" i="1"/>
  <c r="AX289" i="1"/>
  <c r="BC289" i="1"/>
  <c r="Y289" i="1"/>
  <c r="AS108" i="1"/>
  <c r="BD108" i="1"/>
  <c r="Z108" i="1" s="1"/>
  <c r="J108" i="1"/>
  <c r="BD523" i="1"/>
  <c r="Z523" i="1"/>
  <c r="AR508" i="1"/>
  <c r="AQ508" i="1"/>
  <c r="BC495" i="1"/>
  <c r="Y495" i="1"/>
  <c r="J491" i="1"/>
  <c r="BC476" i="1"/>
  <c r="Y476" i="1"/>
  <c r="BD442" i="1"/>
  <c r="Z442" i="1" s="1"/>
  <c r="BC433" i="1"/>
  <c r="Y433" i="1"/>
  <c r="AS419" i="1"/>
  <c r="AQ419" i="1"/>
  <c r="J397" i="1"/>
  <c r="J288" i="1"/>
  <c r="BC825" i="1"/>
  <c r="AA825" i="1" s="1"/>
  <c r="BD817" i="1"/>
  <c r="AB817" i="1"/>
  <c r="J806" i="1"/>
  <c r="AR789" i="1"/>
  <c r="AQ789" i="1" s="1"/>
  <c r="BD769" i="1"/>
  <c r="AB769" i="1"/>
  <c r="BD707" i="1"/>
  <c r="Z707" i="1"/>
  <c r="AS670" i="1"/>
  <c r="J281" i="1"/>
  <c r="BC235" i="1"/>
  <c r="Y235" i="1" s="1"/>
  <c r="AR235" i="1"/>
  <c r="I235" i="1"/>
  <c r="AS804" i="1"/>
  <c r="BD774" i="1"/>
  <c r="AB774" i="1"/>
  <c r="AS742" i="1"/>
  <c r="AR476" i="1"/>
  <c r="J464" i="1"/>
  <c r="BC459" i="1"/>
  <c r="Y459" i="1" s="1"/>
  <c r="AR400" i="1"/>
  <c r="J186" i="1"/>
  <c r="BD186" i="1"/>
  <c r="Z186" i="1" s="1"/>
  <c r="J834" i="1"/>
  <c r="I766" i="1"/>
  <c r="AS682" i="1"/>
  <c r="AQ682" i="1" s="1"/>
  <c r="AS541" i="1"/>
  <c r="BC532" i="1"/>
  <c r="Y532" i="1" s="1"/>
  <c r="AR526" i="1"/>
  <c r="AX526" i="1" s="1"/>
  <c r="I526" i="1"/>
  <c r="BD517" i="1"/>
  <c r="Z517" i="1" s="1"/>
  <c r="AR513" i="1"/>
  <c r="AR495" i="1"/>
  <c r="AQ495" i="1"/>
  <c r="BD458" i="1"/>
  <c r="Z458" i="1" s="1"/>
  <c r="AR433" i="1"/>
  <c r="AX433" i="1"/>
  <c r="J339" i="1"/>
  <c r="BD339" i="1"/>
  <c r="Z339" i="1"/>
  <c r="I831" i="1"/>
  <c r="J774" i="1"/>
  <c r="M676" i="1"/>
  <c r="G31" i="2" s="1"/>
  <c r="BC590" i="1"/>
  <c r="Y590" i="1" s="1"/>
  <c r="I389" i="1"/>
  <c r="AR387" i="1"/>
  <c r="AQ387" i="1" s="1"/>
  <c r="AR382" i="1"/>
  <c r="I382" i="1"/>
  <c r="BC382" i="1"/>
  <c r="Y382" i="1"/>
  <c r="BD323" i="1"/>
  <c r="Z323" i="1" s="1"/>
  <c r="I291" i="1"/>
  <c r="AR291" i="1"/>
  <c r="AX291" i="1" s="1"/>
  <c r="BC176" i="1"/>
  <c r="Y176" i="1" s="1"/>
  <c r="I176" i="1"/>
  <c r="J133" i="1"/>
  <c r="BD133" i="1"/>
  <c r="Z133" i="1"/>
  <c r="I353" i="1"/>
  <c r="J315" i="1"/>
  <c r="AS241" i="1"/>
  <c r="AX241" i="1" s="1"/>
  <c r="AR229" i="1"/>
  <c r="AQ229" i="1"/>
  <c r="AS193" i="1"/>
  <c r="AQ193" i="1"/>
  <c r="J181" i="1"/>
  <c r="BC135" i="1"/>
  <c r="Y135" i="1"/>
  <c r="BC66" i="1"/>
  <c r="W66" i="1"/>
  <c r="AS367" i="1"/>
  <c r="AQ367" i="1" s="1"/>
  <c r="BD324" i="1"/>
  <c r="Z324" i="1" s="1"/>
  <c r="BD294" i="1"/>
  <c r="Z294" i="1"/>
  <c r="AS292" i="1"/>
  <c r="AQ292" i="1"/>
  <c r="BC280" i="1"/>
  <c r="Y280" i="1" s="1"/>
  <c r="AR278" i="1"/>
  <c r="BC275" i="1"/>
  <c r="Y275" i="1" s="1"/>
  <c r="BC268" i="1"/>
  <c r="Y268" i="1" s="1"/>
  <c r="BD245" i="1"/>
  <c r="Z245" i="1"/>
  <c r="AR212" i="1"/>
  <c r="AR145" i="1"/>
  <c r="AX145" i="1" s="1"/>
  <c r="BD138" i="1"/>
  <c r="Z138" i="1"/>
  <c r="AR108" i="1"/>
  <c r="I69" i="1"/>
  <c r="I35" i="1"/>
  <c r="BD32" i="1"/>
  <c r="AB32" i="1" s="1"/>
  <c r="AS25" i="1"/>
  <c r="AR17" i="1"/>
  <c r="J349" i="1"/>
  <c r="BD232" i="1"/>
  <c r="Z232" i="1" s="1"/>
  <c r="BD150" i="1"/>
  <c r="Z150" i="1"/>
  <c r="AR135" i="1"/>
  <c r="AQ135" i="1"/>
  <c r="BD82" i="1"/>
  <c r="Z82" i="1"/>
  <c r="J25" i="1"/>
  <c r="AR275" i="1"/>
  <c r="AR250" i="1"/>
  <c r="AS232" i="1"/>
  <c r="AS150" i="1"/>
  <c r="BC147" i="1"/>
  <c r="Y147" i="1"/>
  <c r="AS138" i="1"/>
  <c r="AX138" i="1" s="1"/>
  <c r="BC120" i="1"/>
  <c r="Y120" i="1"/>
  <c r="BC112" i="1"/>
  <c r="Y112" i="1"/>
  <c r="AS100" i="1"/>
  <c r="AQ100" i="1"/>
  <c r="I77" i="1"/>
  <c r="BD26" i="1"/>
  <c r="AB26" i="1"/>
  <c r="AG82" i="1"/>
  <c r="AP81" i="1" s="1"/>
  <c r="AO74" i="1"/>
  <c r="AS360" i="1"/>
  <c r="AR240" i="1"/>
  <c r="I234" i="1"/>
  <c r="I214" i="1"/>
  <c r="AS211" i="1"/>
  <c r="AX211" i="1"/>
  <c r="J82" i="1"/>
  <c r="J81" i="1"/>
  <c r="E15" i="2" s="1"/>
  <c r="BC69" i="1"/>
  <c r="W69" i="1"/>
  <c r="AS43" i="1"/>
  <c r="AR41" i="1"/>
  <c r="J26" i="1"/>
  <c r="I282" i="1"/>
  <c r="AR257" i="1"/>
  <c r="AR111" i="1"/>
  <c r="AR96" i="1"/>
  <c r="AX96" i="1"/>
  <c r="I271" i="1"/>
  <c r="BD193" i="1"/>
  <c r="Z193" i="1"/>
  <c r="I157" i="1"/>
  <c r="J162" i="1"/>
  <c r="I116" i="1"/>
  <c r="BC108" i="1"/>
  <c r="Y108" i="1"/>
  <c r="BC94" i="1"/>
  <c r="Y94" i="1"/>
  <c r="BD20" i="1"/>
  <c r="AB20" i="1" s="1"/>
  <c r="AX299" i="1"/>
  <c r="AX173" i="1"/>
  <c r="AQ158" i="1"/>
  <c r="AX248" i="1"/>
  <c r="AX42" i="1"/>
  <c r="BC665" i="1"/>
  <c r="Y665" i="1"/>
  <c r="AR665" i="1"/>
  <c r="I665" i="1"/>
  <c r="AX269" i="1"/>
  <c r="J216" i="1"/>
  <c r="AS216" i="1"/>
  <c r="AX15" i="1"/>
  <c r="AR1043" i="1"/>
  <c r="AQ1043" i="1"/>
  <c r="I1043" i="1"/>
  <c r="BC1043" i="1"/>
  <c r="AA1043" i="1" s="1"/>
  <c r="AS967" i="1"/>
  <c r="BD967" i="1"/>
  <c r="AB967" i="1" s="1"/>
  <c r="J967" i="1"/>
  <c r="AQ834" i="1"/>
  <c r="AX834" i="1"/>
  <c r="AS978" i="1"/>
  <c r="BD978" i="1"/>
  <c r="AB978" i="1" s="1"/>
  <c r="J978" i="1"/>
  <c r="M912" i="1"/>
  <c r="G57" i="2"/>
  <c r="BA938" i="1"/>
  <c r="AQ917" i="1"/>
  <c r="AX917" i="1"/>
  <c r="AS938" i="1"/>
  <c r="BD938" i="1"/>
  <c r="AB938" i="1"/>
  <c r="J938" i="1"/>
  <c r="BD1001" i="1"/>
  <c r="AB1001" i="1"/>
  <c r="J1001" i="1"/>
  <c r="AS1001" i="1"/>
  <c r="AQ1001" i="1" s="1"/>
  <c r="BC1010" i="1"/>
  <c r="AA1010" i="1"/>
  <c r="I1010" i="1"/>
  <c r="J996" i="1"/>
  <c r="AS996" i="1"/>
  <c r="AQ996" i="1" s="1"/>
  <c r="AS974" i="1"/>
  <c r="BD974" i="1"/>
  <c r="AB974" i="1" s="1"/>
  <c r="AR956" i="1"/>
  <c r="BC956" i="1"/>
  <c r="AA956" i="1" s="1"/>
  <c r="AR947" i="1"/>
  <c r="AQ947" i="1"/>
  <c r="BC947" i="1"/>
  <c r="AA947" i="1"/>
  <c r="I947" i="1"/>
  <c r="I807" i="1"/>
  <c r="AR807" i="1"/>
  <c r="AQ807" i="1" s="1"/>
  <c r="BC807" i="1"/>
  <c r="AA807" i="1"/>
  <c r="BD1037" i="1"/>
  <c r="AB1037" i="1"/>
  <c r="J1037" i="1"/>
  <c r="AS1037" i="1"/>
  <c r="AQ1037" i="1"/>
  <c r="BC984" i="1"/>
  <c r="AA984" i="1"/>
  <c r="AR984" i="1"/>
  <c r="AX984" i="1" s="1"/>
  <c r="BD1025" i="1"/>
  <c r="AB1025" i="1" s="1"/>
  <c r="J1025" i="1"/>
  <c r="AS1025" i="1"/>
  <c r="BC726" i="1"/>
  <c r="Y726" i="1"/>
  <c r="I726" i="1"/>
  <c r="AS942" i="1"/>
  <c r="AX942" i="1"/>
  <c r="BA888" i="1"/>
  <c r="M862" i="1"/>
  <c r="G56" i="2"/>
  <c r="AR878" i="1"/>
  <c r="BC878" i="1"/>
  <c r="AA878" i="1"/>
  <c r="AS838" i="1"/>
  <c r="I742" i="1"/>
  <c r="I741" i="1" s="1"/>
  <c r="D42" i="2" s="1"/>
  <c r="AR742" i="1"/>
  <c r="AX742" i="1" s="1"/>
  <c r="BC742" i="1"/>
  <c r="I1028" i="1"/>
  <c r="BC1028" i="1"/>
  <c r="AA1028" i="1"/>
  <c r="AR1020" i="1"/>
  <c r="AX1020" i="1"/>
  <c r="BC1020" i="1"/>
  <c r="AA1020" i="1" s="1"/>
  <c r="BC959" i="1"/>
  <c r="AA959" i="1"/>
  <c r="I959" i="1"/>
  <c r="AR1016" i="1"/>
  <c r="AQ1016" i="1" s="1"/>
  <c r="BC1016" i="1"/>
  <c r="AA1016" i="1"/>
  <c r="I973" i="1"/>
  <c r="J841" i="1"/>
  <c r="AS841" i="1"/>
  <c r="AQ841" i="1" s="1"/>
  <c r="BD818" i="1"/>
  <c r="AB818" i="1"/>
  <c r="J818" i="1"/>
  <c r="AS818" i="1"/>
  <c r="AX818" i="1"/>
  <c r="I1016" i="1"/>
  <c r="AS1008" i="1"/>
  <c r="AR937" i="1"/>
  <c r="BC937" i="1"/>
  <c r="AA937" i="1"/>
  <c r="BD916" i="1"/>
  <c r="AB916" i="1"/>
  <c r="J916" i="1"/>
  <c r="BC923" i="1"/>
  <c r="AA923" i="1"/>
  <c r="AR1013" i="1"/>
  <c r="AX1013" i="1" s="1"/>
  <c r="J1046" i="1"/>
  <c r="J988" i="1"/>
  <c r="J922" i="1"/>
  <c r="BC920" i="1"/>
  <c r="AA920" i="1" s="1"/>
  <c r="AR690" i="1"/>
  <c r="AX690" i="1" s="1"/>
  <c r="BC690" i="1"/>
  <c r="Y690" i="1" s="1"/>
  <c r="I690" i="1"/>
  <c r="I683" i="1" s="1"/>
  <c r="D32" i="2" s="1"/>
  <c r="BD1030" i="1"/>
  <c r="AB1030" i="1"/>
  <c r="AR1022" i="1"/>
  <c r="AS961" i="1"/>
  <c r="AR949" i="1"/>
  <c r="AS946" i="1"/>
  <c r="BD936" i="1"/>
  <c r="AB936" i="1" s="1"/>
  <c r="AS928" i="1"/>
  <c r="AR920" i="1"/>
  <c r="AX920" i="1" s="1"/>
  <c r="J910" i="1"/>
  <c r="BD910" i="1"/>
  <c r="AB910" i="1" s="1"/>
  <c r="BC903" i="1"/>
  <c r="AA903" i="1" s="1"/>
  <c r="BC801" i="1"/>
  <c r="AA801" i="1"/>
  <c r="AR801" i="1"/>
  <c r="AQ801" i="1"/>
  <c r="BC697" i="1"/>
  <c r="Y697" i="1" s="1"/>
  <c r="AR697" i="1"/>
  <c r="I1011" i="1"/>
  <c r="J1031" i="1"/>
  <c r="BD1012" i="1"/>
  <c r="AB1012" i="1" s="1"/>
  <c r="AS976" i="1"/>
  <c r="AR944" i="1"/>
  <c r="J700" i="1"/>
  <c r="BD700" i="1"/>
  <c r="Z700" i="1" s="1"/>
  <c r="J1042" i="1"/>
  <c r="BD1022" i="1"/>
  <c r="AB1022" i="1" s="1"/>
  <c r="BD995" i="1"/>
  <c r="AB995" i="1"/>
  <c r="AR991" i="1"/>
  <c r="AQ991" i="1"/>
  <c r="BC958" i="1"/>
  <c r="AA958" i="1"/>
  <c r="BD955" i="1"/>
  <c r="AB955" i="1" s="1"/>
  <c r="AR929" i="1"/>
  <c r="AR925" i="1"/>
  <c r="AX925" i="1" s="1"/>
  <c r="AS922" i="1"/>
  <c r="AR840" i="1"/>
  <c r="BC822" i="1"/>
  <c r="AA822" i="1" s="1"/>
  <c r="I822" i="1"/>
  <c r="AR822" i="1"/>
  <c r="AX822" i="1" s="1"/>
  <c r="J819" i="1"/>
  <c r="AS819" i="1"/>
  <c r="AS1030" i="1"/>
  <c r="AS952" i="1"/>
  <c r="AQ952" i="1" s="1"/>
  <c r="BD946" i="1"/>
  <c r="AB946" i="1"/>
  <c r="I935" i="1"/>
  <c r="AR826" i="1"/>
  <c r="BC826" i="1"/>
  <c r="AA826" i="1"/>
  <c r="I826" i="1"/>
  <c r="AR815" i="1"/>
  <c r="AQ815" i="1"/>
  <c r="AR783" i="1"/>
  <c r="AX783" i="1" s="1"/>
  <c r="BC783" i="1"/>
  <c r="AA783" i="1" s="1"/>
  <c r="BA744" i="1"/>
  <c r="M743" i="1"/>
  <c r="G43" i="2" s="1"/>
  <c r="AR1030" i="1"/>
  <c r="AR1006" i="1"/>
  <c r="BC991" i="1"/>
  <c r="AA991" i="1"/>
  <c r="BC949" i="1"/>
  <c r="AA949" i="1"/>
  <c r="BC925" i="1"/>
  <c r="AA925" i="1" s="1"/>
  <c r="AS865" i="1"/>
  <c r="AQ865" i="1"/>
  <c r="BC815" i="1"/>
  <c r="AA815" i="1"/>
  <c r="AS876" i="1"/>
  <c r="BD876" i="1"/>
  <c r="AB876" i="1"/>
  <c r="J876" i="1"/>
  <c r="J837" i="1"/>
  <c r="J867" i="1"/>
  <c r="BD867" i="1"/>
  <c r="AB867" i="1"/>
  <c r="AS867" i="1"/>
  <c r="AS883" i="1"/>
  <c r="J883" i="1"/>
  <c r="AR718" i="1"/>
  <c r="BC718" i="1"/>
  <c r="Y718" i="1" s="1"/>
  <c r="I718" i="1"/>
  <c r="AS690" i="1"/>
  <c r="BD690" i="1"/>
  <c r="Z690" i="1" s="1"/>
  <c r="J690" i="1"/>
  <c r="AR898" i="1"/>
  <c r="AR877" i="1"/>
  <c r="AX877" i="1"/>
  <c r="I861" i="1"/>
  <c r="AR838" i="1"/>
  <c r="AX838" i="1"/>
  <c r="BD834" i="1"/>
  <c r="AB834" i="1"/>
  <c r="BC823" i="1"/>
  <c r="AA823" i="1" s="1"/>
  <c r="BD812" i="1"/>
  <c r="AB812" i="1" s="1"/>
  <c r="BC720" i="1"/>
  <c r="Y720" i="1"/>
  <c r="J710" i="1"/>
  <c r="AS710" i="1"/>
  <c r="AQ710" i="1"/>
  <c r="I663" i="1"/>
  <c r="BC663" i="1"/>
  <c r="Y663" i="1" s="1"/>
  <c r="AS880" i="1"/>
  <c r="AX880" i="1"/>
  <c r="BD874" i="1"/>
  <c r="AB874" i="1"/>
  <c r="AS873" i="1"/>
  <c r="AQ873" i="1" s="1"/>
  <c r="J778" i="1"/>
  <c r="AG760" i="1"/>
  <c r="AP759" i="1" s="1"/>
  <c r="AS736" i="1"/>
  <c r="AX736" i="1" s="1"/>
  <c r="J727" i="1"/>
  <c r="BD717" i="1"/>
  <c r="Z717" i="1" s="1"/>
  <c r="BC889" i="1"/>
  <c r="AA889" i="1" s="1"/>
  <c r="AS828" i="1"/>
  <c r="AQ828" i="1" s="1"/>
  <c r="AX828" i="1"/>
  <c r="AR812" i="1"/>
  <c r="AX812" i="1"/>
  <c r="AS810" i="1"/>
  <c r="AX810" i="1"/>
  <c r="BD799" i="1"/>
  <c r="AB799" i="1"/>
  <c r="I795" i="1"/>
  <c r="AS790" i="1"/>
  <c r="I781" i="1"/>
  <c r="AS707" i="1"/>
  <c r="AQ707" i="1" s="1"/>
  <c r="M695" i="1"/>
  <c r="G34" i="2"/>
  <c r="BA696" i="1"/>
  <c r="BD873" i="1"/>
  <c r="AB873" i="1"/>
  <c r="AS871" i="1"/>
  <c r="AS796" i="1"/>
  <c r="AQ796" i="1"/>
  <c r="AR784" i="1"/>
  <c r="AQ784" i="1"/>
  <c r="M751" i="1"/>
  <c r="G47" i="2" s="1"/>
  <c r="AG748" i="1"/>
  <c r="AP747" i="1" s="1"/>
  <c r="AS721" i="1"/>
  <c r="AX721" i="1"/>
  <c r="AS717" i="1"/>
  <c r="J664" i="1"/>
  <c r="AS664" i="1"/>
  <c r="BD625" i="1"/>
  <c r="Z625" i="1"/>
  <c r="J625" i="1"/>
  <c r="I349" i="1"/>
  <c r="AR349" i="1"/>
  <c r="BC349" i="1"/>
  <c r="Y349" i="1"/>
  <c r="AS799" i="1"/>
  <c r="AR769" i="1"/>
  <c r="AQ769" i="1"/>
  <c r="BC706" i="1"/>
  <c r="Y706" i="1"/>
  <c r="I706" i="1"/>
  <c r="BC652" i="1"/>
  <c r="Y652" i="1"/>
  <c r="AR652" i="1"/>
  <c r="AX652" i="1" s="1"/>
  <c r="K749" i="1"/>
  <c r="F46" i="2" s="1"/>
  <c r="I46" i="2" s="1"/>
  <c r="AS714" i="1"/>
  <c r="AX714" i="1" s="1"/>
  <c r="J689" i="1"/>
  <c r="J683" i="1"/>
  <c r="E32" i="2" s="1"/>
  <c r="AS689" i="1"/>
  <c r="BD689" i="1"/>
  <c r="Z689" i="1" s="1"/>
  <c r="BD703" i="1"/>
  <c r="Z703" i="1"/>
  <c r="AS703" i="1"/>
  <c r="AX703" i="1"/>
  <c r="AR649" i="1"/>
  <c r="AQ649" i="1" s="1"/>
  <c r="BC649" i="1"/>
  <c r="Y649" i="1" s="1"/>
  <c r="I714" i="1"/>
  <c r="BA694" i="1"/>
  <c r="M693" i="1"/>
  <c r="G33" i="2"/>
  <c r="AR686" i="1"/>
  <c r="I578" i="1"/>
  <c r="BC578" i="1"/>
  <c r="Y578" i="1" s="1"/>
  <c r="AR578" i="1"/>
  <c r="AS681" i="1"/>
  <c r="BD489" i="1"/>
  <c r="Z489" i="1"/>
  <c r="AS489" i="1"/>
  <c r="AX489" i="1" s="1"/>
  <c r="BD663" i="1"/>
  <c r="Z663" i="1" s="1"/>
  <c r="AS663" i="1"/>
  <c r="AX663" i="1"/>
  <c r="AS702" i="1"/>
  <c r="AR666" i="1"/>
  <c r="J655" i="1"/>
  <c r="BC638" i="1"/>
  <c r="Y638" i="1" s="1"/>
  <c r="AR615" i="1"/>
  <c r="BC609" i="1"/>
  <c r="Y609" i="1" s="1"/>
  <c r="J606" i="1"/>
  <c r="J602" i="1"/>
  <c r="J482" i="1"/>
  <c r="BD420" i="1"/>
  <c r="Z420" i="1" s="1"/>
  <c r="J420" i="1"/>
  <c r="BA678" i="1"/>
  <c r="I609" i="1"/>
  <c r="AS605" i="1"/>
  <c r="AQ605" i="1" s="1"/>
  <c r="J595" i="1"/>
  <c r="BD595" i="1"/>
  <c r="Z595" i="1"/>
  <c r="AS595" i="1"/>
  <c r="AX595" i="1"/>
  <c r="I591" i="1"/>
  <c r="BD589" i="1"/>
  <c r="Z589" i="1"/>
  <c r="AS579" i="1"/>
  <c r="AQ579" i="1" s="1"/>
  <c r="AS502" i="1"/>
  <c r="BD502" i="1"/>
  <c r="Z502" i="1"/>
  <c r="BC494" i="1"/>
  <c r="Y494" i="1" s="1"/>
  <c r="I494" i="1"/>
  <c r="AR597" i="1"/>
  <c r="BC498" i="1"/>
  <c r="Y498" i="1"/>
  <c r="AR498" i="1"/>
  <c r="AX498" i="1"/>
  <c r="BD647" i="1"/>
  <c r="Z647" i="1" s="1"/>
  <c r="BD645" i="1"/>
  <c r="Z645" i="1" s="1"/>
  <c r="AR603" i="1"/>
  <c r="I498" i="1"/>
  <c r="AR399" i="1"/>
  <c r="BC399" i="1"/>
  <c r="Y399" i="1"/>
  <c r="BC256" i="1"/>
  <c r="Y256" i="1"/>
  <c r="AR256" i="1"/>
  <c r="I256" i="1"/>
  <c r="BD521" i="1"/>
  <c r="Z521" i="1" s="1"/>
  <c r="J521" i="1"/>
  <c r="AS457" i="1"/>
  <c r="J457" i="1"/>
  <c r="AS645" i="1"/>
  <c r="AX645" i="1" s="1"/>
  <c r="BD642" i="1"/>
  <c r="Z642" i="1"/>
  <c r="AS594" i="1"/>
  <c r="AX594" i="1"/>
  <c r="AR544" i="1"/>
  <c r="AQ544" i="1" s="1"/>
  <c r="BC544" i="1"/>
  <c r="Y544" i="1" s="1"/>
  <c r="BD448" i="1"/>
  <c r="Z448" i="1"/>
  <c r="J448" i="1"/>
  <c r="J293" i="1"/>
  <c r="BD293" i="1"/>
  <c r="Z293" i="1" s="1"/>
  <c r="BC288" i="1"/>
  <c r="Y288" i="1" s="1"/>
  <c r="I288" i="1"/>
  <c r="AS282" i="1"/>
  <c r="AX282" i="1" s="1"/>
  <c r="J282" i="1"/>
  <c r="AS624" i="1"/>
  <c r="J624" i="1"/>
  <c r="BD573" i="1"/>
  <c r="Z573" i="1" s="1"/>
  <c r="J573" i="1"/>
  <c r="J520" i="1"/>
  <c r="AS520" i="1"/>
  <c r="AX520" i="1"/>
  <c r="AR488" i="1"/>
  <c r="AX488" i="1" s="1"/>
  <c r="BC488" i="1"/>
  <c r="Y488" i="1" s="1"/>
  <c r="AS401" i="1"/>
  <c r="BD401" i="1"/>
  <c r="Z401" i="1" s="1"/>
  <c r="AS602" i="1"/>
  <c r="AQ602" i="1"/>
  <c r="J588" i="1"/>
  <c r="BD588" i="1"/>
  <c r="Z588" i="1" s="1"/>
  <c r="AR576" i="1"/>
  <c r="AS505" i="1"/>
  <c r="AX505" i="1" s="1"/>
  <c r="BD505" i="1"/>
  <c r="Z505" i="1"/>
  <c r="AR497" i="1"/>
  <c r="AX497" i="1"/>
  <c r="BC497" i="1"/>
  <c r="Y497" i="1" s="1"/>
  <c r="I497" i="1"/>
  <c r="I488" i="1"/>
  <c r="K450" i="1"/>
  <c r="F23" i="2"/>
  <c r="I23" i="2" s="1"/>
  <c r="AG451" i="1"/>
  <c r="AP450" i="1" s="1"/>
  <c r="BC520" i="1"/>
  <c r="Y520" i="1"/>
  <c r="I520" i="1"/>
  <c r="AS482" i="1"/>
  <c r="AX482" i="1"/>
  <c r="BC608" i="1"/>
  <c r="Y608" i="1"/>
  <c r="I608" i="1"/>
  <c r="AS578" i="1"/>
  <c r="BD578" i="1"/>
  <c r="Z578" i="1" s="1"/>
  <c r="AR560" i="1"/>
  <c r="AQ560" i="1" s="1"/>
  <c r="BC560" i="1"/>
  <c r="Y560" i="1" s="1"/>
  <c r="BC557" i="1"/>
  <c r="Y557" i="1" s="1"/>
  <c r="J514" i="1"/>
  <c r="J487" i="1"/>
  <c r="BC479" i="1"/>
  <c r="Y479" i="1"/>
  <c r="AR479" i="1"/>
  <c r="AQ479" i="1" s="1"/>
  <c r="AX479" i="1"/>
  <c r="I479" i="1"/>
  <c r="J376" i="1"/>
  <c r="BD376" i="1"/>
  <c r="Z376" i="1" s="1"/>
  <c r="AS376" i="1"/>
  <c r="J346" i="1"/>
  <c r="AS346" i="1"/>
  <c r="AQ346" i="1"/>
  <c r="BD366" i="1"/>
  <c r="Z366" i="1" s="1"/>
  <c r="AS366" i="1"/>
  <c r="AX366" i="1" s="1"/>
  <c r="J285" i="1"/>
  <c r="AS285" i="1"/>
  <c r="BC568" i="1"/>
  <c r="Y568" i="1"/>
  <c r="BD565" i="1"/>
  <c r="Z565" i="1" s="1"/>
  <c r="AS496" i="1"/>
  <c r="AX496" i="1" s="1"/>
  <c r="AS476" i="1"/>
  <c r="AX476" i="1" s="1"/>
  <c r="BC470" i="1"/>
  <c r="Y470" i="1"/>
  <c r="I461" i="1"/>
  <c r="I448" i="1"/>
  <c r="BC413" i="1"/>
  <c r="Y413" i="1" s="1"/>
  <c r="AR392" i="1"/>
  <c r="AX392" i="1"/>
  <c r="J385" i="1"/>
  <c r="BD385" i="1"/>
  <c r="Z385" i="1" s="1"/>
  <c r="AR337" i="1"/>
  <c r="AQ337" i="1"/>
  <c r="AS330" i="1"/>
  <c r="AQ330" i="1"/>
  <c r="BD330" i="1"/>
  <c r="Z330" i="1" s="1"/>
  <c r="J330" i="1"/>
  <c r="J327" i="1"/>
  <c r="AS327" i="1"/>
  <c r="BD227" i="1"/>
  <c r="Z227" i="1" s="1"/>
  <c r="J227" i="1"/>
  <c r="AR551" i="1"/>
  <c r="AS523" i="1"/>
  <c r="AQ523" i="1"/>
  <c r="AR438" i="1"/>
  <c r="AX438" i="1" s="1"/>
  <c r="BC438" i="1"/>
  <c r="Y438" i="1" s="1"/>
  <c r="I327" i="1"/>
  <c r="AR327" i="1"/>
  <c r="AQ327" i="1" s="1"/>
  <c r="BC327" i="1"/>
  <c r="Y327" i="1" s="1"/>
  <c r="BC562" i="1"/>
  <c r="Y562" i="1"/>
  <c r="BC467" i="1"/>
  <c r="Y467" i="1"/>
  <c r="AR467" i="1"/>
  <c r="AQ467" i="1" s="1"/>
  <c r="BC411" i="1"/>
  <c r="Y411" i="1" s="1"/>
  <c r="AR411" i="1"/>
  <c r="J345" i="1"/>
  <c r="BD345" i="1"/>
  <c r="Z345" i="1"/>
  <c r="I306" i="1"/>
  <c r="BC306" i="1"/>
  <c r="Y306" i="1"/>
  <c r="J284" i="1"/>
  <c r="BC247" i="1"/>
  <c r="Y247" i="1"/>
  <c r="AR247" i="1"/>
  <c r="AQ247" i="1"/>
  <c r="BC551" i="1"/>
  <c r="Y551" i="1" s="1"/>
  <c r="AS470" i="1"/>
  <c r="BD470" i="1"/>
  <c r="Z470" i="1"/>
  <c r="J470" i="1"/>
  <c r="AS382" i="1"/>
  <c r="AQ382" i="1"/>
  <c r="BD382" i="1"/>
  <c r="Z382" i="1"/>
  <c r="J297" i="1"/>
  <c r="AS297" i="1"/>
  <c r="BD257" i="1"/>
  <c r="Z257" i="1" s="1"/>
  <c r="AR206" i="1"/>
  <c r="BC206" i="1"/>
  <c r="Y206" i="1" s="1"/>
  <c r="BD463" i="1"/>
  <c r="Z463" i="1" s="1"/>
  <c r="AS463" i="1"/>
  <c r="AS408" i="1"/>
  <c r="AX408" i="1" s="1"/>
  <c r="BD408" i="1"/>
  <c r="Z408" i="1"/>
  <c r="AS404" i="1"/>
  <c r="BD404" i="1"/>
  <c r="Z404" i="1" s="1"/>
  <c r="I390" i="1"/>
  <c r="BC390" i="1"/>
  <c r="Y390" i="1" s="1"/>
  <c r="J377" i="1"/>
  <c r="AS377" i="1"/>
  <c r="AQ377" i="1" s="1"/>
  <c r="AS321" i="1"/>
  <c r="J321" i="1"/>
  <c r="J485" i="1"/>
  <c r="J443" i="1"/>
  <c r="I439" i="1"/>
  <c r="BC408" i="1"/>
  <c r="Y408" i="1"/>
  <c r="I408" i="1"/>
  <c r="J404" i="1"/>
  <c r="I377" i="1"/>
  <c r="I364" i="1" s="1"/>
  <c r="D22" i="2" s="1"/>
  <c r="AR377" i="1"/>
  <c r="AS361" i="1"/>
  <c r="J361" i="1"/>
  <c r="BD361" i="1"/>
  <c r="Z361" i="1"/>
  <c r="BC236" i="1"/>
  <c r="Y236" i="1" s="1"/>
  <c r="AR236" i="1"/>
  <c r="AX236" i="1" s="1"/>
  <c r="J463" i="1"/>
  <c r="AR404" i="1"/>
  <c r="BC404" i="1"/>
  <c r="Y404" i="1"/>
  <c r="BD359" i="1"/>
  <c r="Z359" i="1" s="1"/>
  <c r="AS359" i="1"/>
  <c r="AX359" i="1" s="1"/>
  <c r="AR355" i="1"/>
  <c r="AQ355" i="1" s="1"/>
  <c r="I355" i="1"/>
  <c r="J338" i="1"/>
  <c r="BD338" i="1"/>
  <c r="Z338" i="1"/>
  <c r="AS338" i="1"/>
  <c r="AX338" i="1"/>
  <c r="J325" i="1"/>
  <c r="BD325" i="1"/>
  <c r="Z325" i="1"/>
  <c r="BC394" i="1"/>
  <c r="Y394" i="1"/>
  <c r="BC389" i="1"/>
  <c r="Y389" i="1" s="1"/>
  <c r="AR381" i="1"/>
  <c r="AQ381" i="1" s="1"/>
  <c r="AS379" i="1"/>
  <c r="AX379" i="1"/>
  <c r="BC372" i="1"/>
  <c r="Y372" i="1"/>
  <c r="I372" i="1"/>
  <c r="J356" i="1"/>
  <c r="J334" i="1"/>
  <c r="AS334" i="1"/>
  <c r="BD334" i="1"/>
  <c r="Z334" i="1"/>
  <c r="J332" i="1"/>
  <c r="BD332" i="1"/>
  <c r="Z332" i="1"/>
  <c r="J291" i="1"/>
  <c r="I258" i="1"/>
  <c r="I246" i="1"/>
  <c r="AR246" i="1"/>
  <c r="BC246" i="1"/>
  <c r="Y246" i="1"/>
  <c r="BC222" i="1"/>
  <c r="Y222" i="1" s="1"/>
  <c r="I197" i="1"/>
  <c r="I191" i="1" s="1"/>
  <c r="D21" i="2" s="1"/>
  <c r="AS214" i="1"/>
  <c r="AX214" i="1" s="1"/>
  <c r="BD214" i="1"/>
  <c r="Z214" i="1" s="1"/>
  <c r="J214" i="1"/>
  <c r="AS386" i="1"/>
  <c r="AQ386" i="1" s="1"/>
  <c r="BD380" i="1"/>
  <c r="Z380" i="1" s="1"/>
  <c r="AR363" i="1"/>
  <c r="AQ363" i="1"/>
  <c r="BC260" i="1"/>
  <c r="Y260" i="1"/>
  <c r="AR371" i="1"/>
  <c r="AQ371" i="1" s="1"/>
  <c r="BC371" i="1"/>
  <c r="Y371" i="1" s="1"/>
  <c r="BC455" i="1"/>
  <c r="Y455" i="1"/>
  <c r="AS433" i="1"/>
  <c r="J380" i="1"/>
  <c r="BC221" i="1"/>
  <c r="Y221" i="1" s="1"/>
  <c r="AR221" i="1"/>
  <c r="AR372" i="1"/>
  <c r="AQ372" i="1" s="1"/>
  <c r="J333" i="1"/>
  <c r="BD291" i="1"/>
  <c r="Z291" i="1"/>
  <c r="I266" i="1"/>
  <c r="AR266" i="1"/>
  <c r="AQ266" i="1"/>
  <c r="BC266" i="1"/>
  <c r="Y266" i="1"/>
  <c r="I333" i="1"/>
  <c r="BC333" i="1"/>
  <c r="Y333" i="1"/>
  <c r="I276" i="1"/>
  <c r="AR276" i="1"/>
  <c r="AX276" i="1"/>
  <c r="BC276" i="1"/>
  <c r="Y276" i="1"/>
  <c r="AS147" i="1"/>
  <c r="AQ147" i="1" s="1"/>
  <c r="BD147" i="1"/>
  <c r="Z147" i="1"/>
  <c r="BC49" i="1"/>
  <c r="AA49" i="1"/>
  <c r="I49" i="1"/>
  <c r="BC284" i="1"/>
  <c r="Y284" i="1"/>
  <c r="I272" i="1"/>
  <c r="I264" i="1"/>
  <c r="BC250" i="1"/>
  <c r="Y250" i="1" s="1"/>
  <c r="BC234" i="1"/>
  <c r="Y234" i="1" s="1"/>
  <c r="I109" i="1"/>
  <c r="BC109" i="1"/>
  <c r="Y109" i="1" s="1"/>
  <c r="I97" i="1"/>
  <c r="BC97" i="1"/>
  <c r="Y97" i="1" s="1"/>
  <c r="AR25" i="1"/>
  <c r="AQ25" i="1" s="1"/>
  <c r="BC25" i="1"/>
  <c r="AA25" i="1"/>
  <c r="I25" i="1"/>
  <c r="AR196" i="1"/>
  <c r="AQ196" i="1"/>
  <c r="BC196" i="1"/>
  <c r="Y196" i="1"/>
  <c r="I196" i="1"/>
  <c r="BD173" i="1"/>
  <c r="Z173" i="1"/>
  <c r="J173" i="1"/>
  <c r="AR114" i="1"/>
  <c r="AX114" i="1"/>
  <c r="BC114" i="1"/>
  <c r="Y114" i="1"/>
  <c r="I114" i="1"/>
  <c r="AR297" i="1"/>
  <c r="AS58" i="1"/>
  <c r="BD58" i="1"/>
  <c r="X58" i="1"/>
  <c r="J58" i="1"/>
  <c r="BD253" i="1"/>
  <c r="Z253" i="1"/>
  <c r="AR159" i="1"/>
  <c r="AX159" i="1" s="1"/>
  <c r="BC159" i="1"/>
  <c r="Y159" i="1" s="1"/>
  <c r="I159" i="1"/>
  <c r="J129" i="1"/>
  <c r="AS129" i="1"/>
  <c r="AX129" i="1"/>
  <c r="AS101" i="1"/>
  <c r="AQ101" i="1" s="1"/>
  <c r="BD101" i="1"/>
  <c r="Z101" i="1" s="1"/>
  <c r="J101" i="1"/>
  <c r="BC76" i="1"/>
  <c r="W76" i="1" s="1"/>
  <c r="I76" i="1"/>
  <c r="AR76" i="1"/>
  <c r="AX76" i="1" s="1"/>
  <c r="BC24" i="1"/>
  <c r="AA24" i="1" s="1"/>
  <c r="AR24" i="1"/>
  <c r="AS253" i="1"/>
  <c r="AS47" i="1"/>
  <c r="AX47" i="1"/>
  <c r="J47" i="1"/>
  <c r="AS50" i="1"/>
  <c r="AQ50" i="1"/>
  <c r="BD50" i="1"/>
  <c r="AB50" i="1"/>
  <c r="J50" i="1"/>
  <c r="BD202" i="1"/>
  <c r="Z202" i="1"/>
  <c r="J202" i="1"/>
  <c r="AR164" i="1"/>
  <c r="AQ164" i="1"/>
  <c r="BC164" i="1"/>
  <c r="Y164" i="1"/>
  <c r="I164" i="1"/>
  <c r="I204" i="1"/>
  <c r="AS166" i="1"/>
  <c r="J144" i="1"/>
  <c r="I111" i="1"/>
  <c r="AS102" i="1"/>
  <c r="AR89" i="1"/>
  <c r="AX89" i="1"/>
  <c r="K72" i="1"/>
  <c r="F13" i="2" s="1"/>
  <c r="I13" i="2" s="1"/>
  <c r="AR31" i="1"/>
  <c r="AQ31" i="1" s="1"/>
  <c r="BC138" i="1"/>
  <c r="Y138" i="1" s="1"/>
  <c r="BC117" i="1"/>
  <c r="Y117" i="1"/>
  <c r="AS103" i="1"/>
  <c r="AX103" i="1"/>
  <c r="AS36" i="1"/>
  <c r="AQ36" i="1" s="1"/>
  <c r="BC169" i="1"/>
  <c r="Y169" i="1" s="1"/>
  <c r="BD104" i="1"/>
  <c r="Z104" i="1"/>
  <c r="BC58" i="1"/>
  <c r="W58" i="1"/>
  <c r="AR35" i="1"/>
  <c r="AQ35" i="1"/>
  <c r="AS32" i="1"/>
  <c r="AX32" i="1"/>
  <c r="AR19" i="1"/>
  <c r="AX19" i="1" s="1"/>
  <c r="AS186" i="1"/>
  <c r="AQ186" i="1"/>
  <c r="BC166" i="1"/>
  <c r="Y166" i="1" s="1"/>
  <c r="AS163" i="1"/>
  <c r="AX163" i="1" s="1"/>
  <c r="BD155" i="1"/>
  <c r="Z155" i="1"/>
  <c r="BC124" i="1"/>
  <c r="Y124" i="1"/>
  <c r="AR117" i="1"/>
  <c r="AQ117" i="1" s="1"/>
  <c r="BD103" i="1"/>
  <c r="Z103" i="1" s="1"/>
  <c r="AS94" i="1"/>
  <c r="AQ94" i="1"/>
  <c r="AR91" i="1"/>
  <c r="AX91" i="1"/>
  <c r="I31" i="1"/>
  <c r="BD28" i="1"/>
  <c r="AB28" i="1"/>
  <c r="I17" i="1"/>
  <c r="BD205" i="1"/>
  <c r="Z205" i="1"/>
  <c r="AR204" i="1"/>
  <c r="AQ204" i="1"/>
  <c r="AR182" i="1"/>
  <c r="AX182" i="1" s="1"/>
  <c r="AR169" i="1"/>
  <c r="AQ169" i="1" s="1"/>
  <c r="AR75" i="1"/>
  <c r="BD48" i="1"/>
  <c r="AB48" i="1" s="1"/>
  <c r="AS23" i="1"/>
  <c r="BD40" i="1"/>
  <c r="AB40" i="1" s="1"/>
  <c r="AR29" i="1"/>
  <c r="AX29" i="1" s="1"/>
  <c r="AS20" i="1"/>
  <c r="AQ20" i="1"/>
  <c r="BC19" i="1"/>
  <c r="AA19" i="1"/>
  <c r="AX970" i="1"/>
  <c r="AQ516" i="1"/>
  <c r="AX209" i="1"/>
  <c r="AQ762" i="1"/>
  <c r="AQ746" i="1"/>
  <c r="AQ518" i="1"/>
  <c r="AX155" i="1"/>
  <c r="AX521" i="1"/>
  <c r="AX56" i="1"/>
  <c r="AX55" i="1"/>
  <c r="AX40" i="1"/>
  <c r="AQ407" i="1"/>
  <c r="AX119" i="1"/>
  <c r="AX712" i="1"/>
  <c r="AQ65" i="1"/>
  <c r="AQ970" i="1"/>
  <c r="AX194" i="1"/>
  <c r="AX339" i="1"/>
  <c r="AX66" i="1"/>
  <c r="AX601" i="1"/>
  <c r="AQ77" i="1"/>
  <c r="AX1027" i="1"/>
  <c r="AQ485" i="1"/>
  <c r="AQ179" i="1"/>
  <c r="AQ311" i="1"/>
  <c r="AQ342" i="1"/>
  <c r="AQ561" i="1"/>
  <c r="AQ323" i="1"/>
  <c r="AX504" i="1"/>
  <c r="AQ155" i="1"/>
  <c r="AX464" i="1"/>
  <c r="AQ274" i="1"/>
  <c r="AQ1033" i="1"/>
  <c r="AQ493" i="1"/>
  <c r="AQ259" i="1"/>
  <c r="AX68" i="1"/>
  <c r="AX493" i="1"/>
  <c r="AX490" i="1"/>
  <c r="AQ336" i="1"/>
  <c r="AQ27" i="1"/>
  <c r="AX635" i="1"/>
  <c r="AQ785" i="1"/>
  <c r="AQ512" i="1"/>
  <c r="AX378" i="1"/>
  <c r="AQ85" i="1"/>
  <c r="AX133" i="1"/>
  <c r="AX259" i="1"/>
  <c r="AQ963" i="1"/>
  <c r="AX471" i="1"/>
  <c r="AX336" i="1"/>
  <c r="AX569" i="1"/>
  <c r="AQ68" i="1"/>
  <c r="AQ115" i="1"/>
  <c r="AX535" i="1"/>
  <c r="AX1033" i="1"/>
  <c r="AX914" i="1"/>
  <c r="AQ688" i="1"/>
  <c r="AX543" i="1"/>
  <c r="AQ926" i="1"/>
  <c r="AX926" i="1"/>
  <c r="AQ333" i="1"/>
  <c r="AQ378" i="1"/>
  <c r="AQ750" i="1"/>
  <c r="AX151" i="1"/>
  <c r="AX1011" i="1"/>
  <c r="AX311" i="1"/>
  <c r="AQ471" i="1"/>
  <c r="AX547" i="1"/>
  <c r="AQ358" i="1"/>
  <c r="AQ52" i="1"/>
  <c r="AQ596" i="1"/>
  <c r="AQ224" i="1"/>
  <c r="AX224" i="1"/>
  <c r="AX483" i="1"/>
  <c r="AQ483" i="1"/>
  <c r="AX205" i="1"/>
  <c r="AQ205" i="1"/>
  <c r="AQ888" i="1"/>
  <c r="AX872" i="1"/>
  <c r="AQ872" i="1"/>
  <c r="AX530" i="1"/>
  <c r="AQ144" i="1"/>
  <c r="AX461" i="1"/>
  <c r="AQ941" i="1"/>
  <c r="AX941" i="1"/>
  <c r="AQ487" i="1"/>
  <c r="AX487" i="1"/>
  <c r="AX536" i="1"/>
  <c r="AQ536" i="1"/>
  <c r="AX903" i="1"/>
  <c r="AQ775" i="1"/>
  <c r="AQ875" i="1"/>
  <c r="AX875" i="1"/>
  <c r="AX756" i="1"/>
  <c r="AQ1036" i="1"/>
  <c r="AX791" i="1"/>
  <c r="AX559" i="1"/>
  <c r="AQ559" i="1"/>
  <c r="AX964" i="1"/>
  <c r="AX764" i="1"/>
  <c r="AQ722" i="1"/>
  <c r="AQ914" i="1"/>
  <c r="AQ514" i="1"/>
  <c r="AQ966" i="1"/>
  <c r="AQ354" i="1"/>
  <c r="AX354" i="1"/>
  <c r="AX319" i="1"/>
  <c r="AQ319" i="1"/>
  <c r="AX436" i="1"/>
  <c r="AQ402" i="1"/>
  <c r="AQ40" i="1"/>
  <c r="AQ556" i="1"/>
  <c r="AX477" i="1"/>
  <c r="AX808" i="1"/>
  <c r="AQ808" i="1"/>
  <c r="AX30" i="1"/>
  <c r="AQ279" i="1"/>
  <c r="AQ553" i="1"/>
  <c r="AQ770" i="1"/>
  <c r="AX770" i="1"/>
  <c r="AQ825" i="1"/>
  <c r="AX590" i="1"/>
  <c r="AX886" i="1"/>
  <c r="AQ241" i="1"/>
  <c r="AX306" i="1"/>
  <c r="AQ309" i="1"/>
  <c r="AX503" i="1"/>
  <c r="AQ503" i="1"/>
  <c r="AX658" i="1"/>
  <c r="AQ658" i="1"/>
  <c r="AX265" i="1"/>
  <c r="AX434" i="1"/>
  <c r="AQ961" i="1"/>
  <c r="AX280" i="1"/>
  <c r="AQ280" i="1"/>
  <c r="AQ303" i="1"/>
  <c r="AX92" i="1"/>
  <c r="AQ291" i="1"/>
  <c r="AX542" i="1"/>
  <c r="AQ542" i="1"/>
  <c r="AX895" i="1"/>
  <c r="AX313" i="1"/>
  <c r="AQ458" i="1"/>
  <c r="AQ813" i="1"/>
  <c r="AQ657" i="1"/>
  <c r="AX657" i="1"/>
  <c r="AQ894" i="1"/>
  <c r="AX726" i="1"/>
  <c r="AX908" i="1"/>
  <c r="AQ908" i="1"/>
  <c r="AQ1044" i="1"/>
  <c r="AX1044" i="1"/>
  <c r="AX901" i="1"/>
  <c r="AX682" i="1"/>
  <c r="AQ96" i="1"/>
  <c r="AX229" i="1"/>
  <c r="AQ953" i="1"/>
  <c r="AX953" i="1"/>
  <c r="AQ62" i="1"/>
  <c r="AQ138" i="1"/>
  <c r="AQ843" i="1"/>
  <c r="AX843" i="1"/>
  <c r="AQ994" i="1"/>
  <c r="AX824" i="1"/>
  <c r="AQ1017" i="1"/>
  <c r="AX1017" i="1"/>
  <c r="AX292" i="1"/>
  <c r="AX961" i="1"/>
  <c r="AX495" i="1"/>
  <c r="AQ416" i="1"/>
  <c r="AX416" i="1"/>
  <c r="AX585" i="1"/>
  <c r="AQ930" i="1"/>
  <c r="AQ289" i="1"/>
  <c r="AX100" i="1"/>
  <c r="AX400" i="1"/>
  <c r="AQ400" i="1"/>
  <c r="E27" i="2"/>
  <c r="AQ727" i="1"/>
  <c r="AX778" i="1"/>
  <c r="AX850" i="1"/>
  <c r="AQ850" i="1"/>
  <c r="AQ989" i="1"/>
  <c r="AQ983" i="1"/>
  <c r="AX983" i="1"/>
  <c r="AX649" i="1"/>
  <c r="AQ812" i="1"/>
  <c r="AQ236" i="1"/>
  <c r="AQ497" i="1"/>
  <c r="AQ89" i="1"/>
  <c r="AX35" i="1"/>
  <c r="AQ949" i="1"/>
  <c r="AX1016" i="1"/>
  <c r="AX807" i="1"/>
  <c r="AQ578" i="1"/>
  <c r="AX878" i="1"/>
  <c r="AQ878" i="1"/>
  <c r="AQ214" i="1"/>
  <c r="AQ594" i="1"/>
  <c r="AX1030" i="1"/>
  <c r="AX865" i="1"/>
  <c r="AX399" i="1"/>
  <c r="AQ399" i="1"/>
  <c r="D27" i="2"/>
  <c r="AX801" i="1"/>
  <c r="AQ818" i="1"/>
  <c r="AQ1020" i="1"/>
  <c r="AX560" i="1"/>
  <c r="AX718" i="1"/>
  <c r="AQ718" i="1"/>
  <c r="AQ32" i="1"/>
  <c r="AQ925" i="1"/>
  <c r="AQ721" i="1"/>
  <c r="AQ920" i="1"/>
  <c r="AQ76" i="1"/>
  <c r="AQ742" i="1"/>
  <c r="I1034" i="1"/>
  <c r="AR1014" i="1"/>
  <c r="AR1034" i="1"/>
  <c r="AX1024" i="1"/>
  <c r="I1024" i="1"/>
  <c r="BC1024" i="1"/>
  <c r="AA1024" i="1" s="1"/>
  <c r="AX968" i="1"/>
  <c r="AQ968" i="1"/>
  <c r="AQ932" i="1"/>
  <c r="BD929" i="1"/>
  <c r="AB929" i="1" s="1"/>
  <c r="I924" i="1"/>
  <c r="AR971" i="1"/>
  <c r="AQ971" i="1" s="1"/>
  <c r="AR915" i="1"/>
  <c r="AQ915" i="1"/>
  <c r="AX990" i="1"/>
  <c r="BD948" i="1"/>
  <c r="AB948" i="1" s="1"/>
  <c r="AX943" i="1"/>
  <c r="AS948" i="1"/>
  <c r="BD937" i="1"/>
  <c r="AB937" i="1"/>
  <c r="I976" i="1"/>
  <c r="AX965" i="1"/>
  <c r="AR976" i="1"/>
  <c r="AX960" i="1"/>
  <c r="AS965" i="1"/>
  <c r="AQ965" i="1" s="1"/>
  <c r="BC971" i="1"/>
  <c r="AA971" i="1"/>
  <c r="J981" i="1"/>
  <c r="J919" i="1"/>
  <c r="AQ980" i="1"/>
  <c r="J965" i="1"/>
  <c r="AS981" i="1"/>
  <c r="AX981" i="1" s="1"/>
  <c r="AR954" i="1"/>
  <c r="AQ942" i="1"/>
  <c r="BD919" i="1"/>
  <c r="AB919" i="1" s="1"/>
  <c r="I943" i="1"/>
  <c r="J929" i="1"/>
  <c r="AX972" i="1"/>
  <c r="AQ919" i="1"/>
  <c r="BC954" i="1"/>
  <c r="AA954" i="1"/>
  <c r="BD902" i="1"/>
  <c r="AB902" i="1" s="1"/>
  <c r="J881" i="1"/>
  <c r="AX868" i="1"/>
  <c r="AQ874" i="1"/>
  <c r="BD870" i="1"/>
  <c r="AB870" i="1" s="1"/>
  <c r="AX892" i="1"/>
  <c r="I892" i="1"/>
  <c r="AS870" i="1"/>
  <c r="AX870" i="1"/>
  <c r="BC892" i="1"/>
  <c r="AA892" i="1"/>
  <c r="BD864" i="1"/>
  <c r="AB864" i="1" s="1"/>
  <c r="AQ905" i="1"/>
  <c r="J907" i="1"/>
  <c r="J902" i="1"/>
  <c r="AQ909" i="1"/>
  <c r="AS864" i="1"/>
  <c r="BD907" i="1"/>
  <c r="AB907" i="1"/>
  <c r="AS881" i="1"/>
  <c r="I876" i="1"/>
  <c r="AR876" i="1"/>
  <c r="AQ876" i="1" s="1"/>
  <c r="AX809" i="1"/>
  <c r="AQ809" i="1"/>
  <c r="BC852" i="1"/>
  <c r="AA852" i="1"/>
  <c r="BC809" i="1"/>
  <c r="AA809" i="1" s="1"/>
  <c r="AQ847" i="1"/>
  <c r="J824" i="1"/>
  <c r="I858" i="1"/>
  <c r="I819" i="1"/>
  <c r="J814" i="1"/>
  <c r="AR835" i="1"/>
  <c r="BC803" i="1"/>
  <c r="AA803" i="1" s="1"/>
  <c r="I809" i="1"/>
  <c r="BC835" i="1"/>
  <c r="AA835" i="1" s="1"/>
  <c r="AX854" i="1"/>
  <c r="AX819" i="1"/>
  <c r="AX803" i="1"/>
  <c r="AQ804" i="1"/>
  <c r="AX821" i="1"/>
  <c r="BC819" i="1"/>
  <c r="AA819" i="1"/>
  <c r="BC841" i="1"/>
  <c r="AA841" i="1"/>
  <c r="AX860" i="1"/>
  <c r="AX815" i="1"/>
  <c r="AQ823" i="1"/>
  <c r="I841" i="1"/>
  <c r="I803" i="1"/>
  <c r="AR858" i="1"/>
  <c r="AQ858" i="1"/>
  <c r="BD814" i="1"/>
  <c r="AB814" i="1"/>
  <c r="BC799" i="1"/>
  <c r="AA799" i="1" s="1"/>
  <c r="BD788" i="1"/>
  <c r="AB788" i="1" s="1"/>
  <c r="I772" i="1"/>
  <c r="BD793" i="1"/>
  <c r="AB793" i="1" s="1"/>
  <c r="AR773" i="1"/>
  <c r="AR799" i="1"/>
  <c r="AX769" i="1"/>
  <c r="BC772" i="1"/>
  <c r="AA772" i="1" s="1"/>
  <c r="J771" i="1"/>
  <c r="AR766" i="1"/>
  <c r="AX766" i="1" s="1"/>
  <c r="J777" i="1"/>
  <c r="AS766" i="1"/>
  <c r="I787" i="1"/>
  <c r="AS771" i="1"/>
  <c r="AQ771" i="1" s="1"/>
  <c r="AS793" i="1"/>
  <c r="AX793" i="1"/>
  <c r="AS781" i="1"/>
  <c r="AQ768" i="1"/>
  <c r="J798" i="1"/>
  <c r="AS798" i="1"/>
  <c r="K757" i="1"/>
  <c r="F50" i="2" s="1"/>
  <c r="I50" i="2" s="1"/>
  <c r="J758" i="1"/>
  <c r="J757" i="1" s="1"/>
  <c r="E50" i="2"/>
  <c r="AG744" i="1"/>
  <c r="AP743" i="1" s="1"/>
  <c r="AX760" i="1"/>
  <c r="BC760" i="1"/>
  <c r="AS758" i="1"/>
  <c r="AX758" i="1"/>
  <c r="AQ738" i="1"/>
  <c r="K719" i="1"/>
  <c r="F36" i="2" s="1"/>
  <c r="I36" i="2" s="1"/>
  <c r="AN719" i="1"/>
  <c r="I702" i="1"/>
  <c r="I707" i="1"/>
  <c r="I715" i="1"/>
  <c r="AR702" i="1"/>
  <c r="AR715" i="1"/>
  <c r="AX715" i="1" s="1"/>
  <c r="AQ715" i="1"/>
  <c r="AR707" i="1"/>
  <c r="AX707" i="1"/>
  <c r="BD694" i="1"/>
  <c r="Z694" i="1"/>
  <c r="AS694" i="1"/>
  <c r="AQ694" i="1" s="1"/>
  <c r="AS692" i="1"/>
  <c r="BD692" i="1"/>
  <c r="Z692" i="1"/>
  <c r="AN683" i="1"/>
  <c r="I687" i="1"/>
  <c r="AQ680" i="1"/>
  <c r="AQ675" i="1"/>
  <c r="K669" i="1"/>
  <c r="F30" i="2"/>
  <c r="I30" i="2" s="1"/>
  <c r="AO648" i="1"/>
  <c r="J662" i="1"/>
  <c r="BC651" i="1"/>
  <c r="Y651" i="1" s="1"/>
  <c r="I651" i="1"/>
  <c r="BC667" i="1"/>
  <c r="Y667" i="1" s="1"/>
  <c r="J656" i="1"/>
  <c r="AS662" i="1"/>
  <c r="AR667" i="1"/>
  <c r="AQ667" i="1" s="1"/>
  <c r="AX587" i="1"/>
  <c r="AR592" i="1"/>
  <c r="J586" i="1"/>
  <c r="BD632" i="1"/>
  <c r="Z632" i="1"/>
  <c r="AX647" i="1"/>
  <c r="AS587" i="1"/>
  <c r="BC575" i="1"/>
  <c r="Y575" i="1" s="1"/>
  <c r="AS626" i="1"/>
  <c r="AQ626" i="1"/>
  <c r="AX626" i="1"/>
  <c r="J614" i="1"/>
  <c r="AQ598" i="1"/>
  <c r="AQ617" i="1"/>
  <c r="J587" i="1"/>
  <c r="J632" i="1"/>
  <c r="J627" i="1"/>
  <c r="K571" i="1"/>
  <c r="F28" i="2" s="1"/>
  <c r="I28" i="2" s="1"/>
  <c r="J620" i="1"/>
  <c r="I576" i="1"/>
  <c r="BD627" i="1"/>
  <c r="Z627" i="1" s="1"/>
  <c r="J638" i="1"/>
  <c r="AS638" i="1"/>
  <c r="J637" i="1"/>
  <c r="AS637" i="1"/>
  <c r="AQ637" i="1"/>
  <c r="I598" i="1"/>
  <c r="AS620" i="1"/>
  <c r="AQ575" i="1"/>
  <c r="AQ587" i="1"/>
  <c r="AS633" i="1"/>
  <c r="I582" i="1"/>
  <c r="AQ644" i="1"/>
  <c r="AQ581" i="1"/>
  <c r="J633" i="1"/>
  <c r="AR582" i="1"/>
  <c r="AQ582" i="1" s="1"/>
  <c r="I575" i="1"/>
  <c r="BD626" i="1"/>
  <c r="Z626" i="1" s="1"/>
  <c r="J644" i="1"/>
  <c r="BC598" i="1"/>
  <c r="Y598" i="1" s="1"/>
  <c r="I581" i="1"/>
  <c r="BC592" i="1"/>
  <c r="Y592" i="1" s="1"/>
  <c r="J562" i="1"/>
  <c r="J568" i="1"/>
  <c r="AS568" i="1"/>
  <c r="AQ568" i="1"/>
  <c r="AS562" i="1"/>
  <c r="BD556" i="1"/>
  <c r="Z556" i="1" s="1"/>
  <c r="J556" i="1"/>
  <c r="J555" i="1"/>
  <c r="E26" i="2" s="1"/>
  <c r="I539" i="1"/>
  <c r="J550" i="1"/>
  <c r="AS550" i="1"/>
  <c r="AX538" i="1"/>
  <c r="AS544" i="1"/>
  <c r="AR539" i="1"/>
  <c r="AQ539" i="1"/>
  <c r="AQ484" i="1"/>
  <c r="AQ454" i="1"/>
  <c r="J451" i="1"/>
  <c r="J450" i="1"/>
  <c r="E23" i="2" s="1"/>
  <c r="BD451" i="1"/>
  <c r="Z451" i="1"/>
  <c r="AX451" i="1"/>
  <c r="AQ388" i="1"/>
  <c r="AQ417" i="1"/>
  <c r="BC379" i="1"/>
  <c r="Y379" i="1"/>
  <c r="BC442" i="1"/>
  <c r="Y442" i="1" s="1"/>
  <c r="I368" i="1"/>
  <c r="I437" i="1"/>
  <c r="AQ427" i="1"/>
  <c r="AX414" i="1"/>
  <c r="I412" i="1"/>
  <c r="AS431" i="1"/>
  <c r="AQ431" i="1" s="1"/>
  <c r="AR422" i="1"/>
  <c r="AQ422" i="1"/>
  <c r="AX383" i="1"/>
  <c r="BD389" i="1"/>
  <c r="Z389" i="1"/>
  <c r="AQ437" i="1"/>
  <c r="BC422" i="1"/>
  <c r="Y422" i="1" s="1"/>
  <c r="AR368" i="1"/>
  <c r="I427" i="1"/>
  <c r="BC427" i="1"/>
  <c r="Y427" i="1"/>
  <c r="AX396" i="1"/>
  <c r="J431" i="1"/>
  <c r="BD447" i="1"/>
  <c r="Z447" i="1" s="1"/>
  <c r="AS389" i="1"/>
  <c r="AQ415" i="1"/>
  <c r="BC437" i="1"/>
  <c r="Y437" i="1"/>
  <c r="AQ376" i="1"/>
  <c r="I379" i="1"/>
  <c r="BD417" i="1"/>
  <c r="Z417" i="1" s="1"/>
  <c r="BC412" i="1"/>
  <c r="Y412" i="1" s="1"/>
  <c r="AQ370" i="1"/>
  <c r="J417" i="1"/>
  <c r="AX238" i="1"/>
  <c r="AX220" i="1"/>
  <c r="AX312" i="1"/>
  <c r="AR260" i="1"/>
  <c r="AQ260" i="1" s="1"/>
  <c r="AX260" i="1"/>
  <c r="BC197" i="1"/>
  <c r="Y197" i="1"/>
  <c r="J257" i="1"/>
  <c r="BC252" i="1"/>
  <c r="Y252" i="1" s="1"/>
  <c r="AR223" i="1"/>
  <c r="AQ322" i="1"/>
  <c r="J246" i="1"/>
  <c r="BC215" i="1"/>
  <c r="Y215" i="1"/>
  <c r="AS228" i="1"/>
  <c r="AX228" i="1"/>
  <c r="AQ296" i="1"/>
  <c r="BD301" i="1"/>
  <c r="Z301" i="1"/>
  <c r="BC210" i="1"/>
  <c r="Y210" i="1"/>
  <c r="AR262" i="1"/>
  <c r="AR348" i="1"/>
  <c r="AR252" i="1"/>
  <c r="BD287" i="1"/>
  <c r="Z287" i="1" s="1"/>
  <c r="BD275" i="1"/>
  <c r="Z275" i="1" s="1"/>
  <c r="BC317" i="1"/>
  <c r="Y317" i="1"/>
  <c r="AS270" i="1"/>
  <c r="J212" i="1"/>
  <c r="BD331" i="1"/>
  <c r="Z331" i="1" s="1"/>
  <c r="AX198" i="1"/>
  <c r="BC262" i="1"/>
  <c r="Y262" i="1"/>
  <c r="I348" i="1"/>
  <c r="BD278" i="1"/>
  <c r="Z278" i="1"/>
  <c r="AQ343" i="1"/>
  <c r="BD353" i="1"/>
  <c r="Z353" i="1"/>
  <c r="AX215" i="1"/>
  <c r="AX249" i="1"/>
  <c r="AQ207" i="1"/>
  <c r="AQ331" i="1"/>
  <c r="AR351" i="1"/>
  <c r="AS278" i="1"/>
  <c r="BC310" i="1"/>
  <c r="Y310" i="1"/>
  <c r="AX357" i="1"/>
  <c r="AR317" i="1"/>
  <c r="J264" i="1"/>
  <c r="J270" i="1"/>
  <c r="AQ225" i="1"/>
  <c r="AS326" i="1"/>
  <c r="BD201" i="1"/>
  <c r="Z201" i="1"/>
  <c r="BD244" i="1"/>
  <c r="Z244" i="1"/>
  <c r="J331" i="1"/>
  <c r="AX208" i="1"/>
  <c r="BC351" i="1"/>
  <c r="Y351" i="1" s="1"/>
  <c r="AS284" i="1"/>
  <c r="BC223" i="1"/>
  <c r="Y223" i="1" s="1"/>
  <c r="J236" i="1"/>
  <c r="AQ239" i="1"/>
  <c r="BD207" i="1"/>
  <c r="Z207" i="1"/>
  <c r="I361" i="1"/>
  <c r="AS298" i="1"/>
  <c r="AS287" i="1"/>
  <c r="BC343" i="1"/>
  <c r="Y343" i="1"/>
  <c r="AR310" i="1"/>
  <c r="AX310" i="1" s="1"/>
  <c r="AQ276" i="1"/>
  <c r="AR192" i="1"/>
  <c r="AQ192" i="1" s="1"/>
  <c r="AR293" i="1"/>
  <c r="AQ293" i="1" s="1"/>
  <c r="BC239" i="1"/>
  <c r="Y239" i="1"/>
  <c r="AQ301" i="1"/>
  <c r="AR304" i="1"/>
  <c r="J220" i="1"/>
  <c r="BC249" i="1"/>
  <c r="Y249" i="1"/>
  <c r="AS264" i="1"/>
  <c r="BD236" i="1"/>
  <c r="Z236" i="1"/>
  <c r="AR361" i="1"/>
  <c r="AQ361" i="1"/>
  <c r="AQ217" i="1"/>
  <c r="J244" i="1"/>
  <c r="AX308" i="1"/>
  <c r="AX245" i="1"/>
  <c r="I192" i="1"/>
  <c r="BD298" i="1"/>
  <c r="Z298" i="1" s="1"/>
  <c r="I343" i="1"/>
  <c r="BC307" i="1"/>
  <c r="Y307" i="1" s="1"/>
  <c r="J326" i="1"/>
  <c r="AX362" i="1"/>
  <c r="BD212" i="1"/>
  <c r="Z212" i="1"/>
  <c r="J201" i="1"/>
  <c r="I322" i="1"/>
  <c r="AX305" i="1"/>
  <c r="AX201" i="1"/>
  <c r="AX232" i="1"/>
  <c r="BC324" i="1"/>
  <c r="Y324" i="1"/>
  <c r="I307" i="1"/>
  <c r="BC304" i="1"/>
  <c r="Y304" i="1" s="1"/>
  <c r="I249" i="1"/>
  <c r="J204" i="1"/>
  <c r="AS204" i="1"/>
  <c r="I296" i="1"/>
  <c r="BC255" i="1"/>
  <c r="Y255" i="1" s="1"/>
  <c r="BC322" i="1"/>
  <c r="Y322" i="1" s="1"/>
  <c r="I324" i="1"/>
  <c r="BD281" i="1"/>
  <c r="Z281" i="1" s="1"/>
  <c r="AS233" i="1"/>
  <c r="AX233" i="1"/>
  <c r="AS275" i="1"/>
  <c r="AX275" i="1" s="1"/>
  <c r="AQ275" i="1"/>
  <c r="J230" i="1"/>
  <c r="J207" i="1"/>
  <c r="AR255" i="1"/>
  <c r="AQ255" i="1" s="1"/>
  <c r="AX223" i="1"/>
  <c r="BC337" i="1"/>
  <c r="Y337" i="1" s="1"/>
  <c r="AS246" i="1"/>
  <c r="AQ246" i="1" s="1"/>
  <c r="I215" i="1"/>
  <c r="J228" i="1"/>
  <c r="AR340" i="1"/>
  <c r="AX340" i="1" s="1"/>
  <c r="J301" i="1"/>
  <c r="J190" i="1"/>
  <c r="J189" i="1" s="1"/>
  <c r="E20" i="2" s="1"/>
  <c r="AS190" i="1"/>
  <c r="AR148" i="1"/>
  <c r="AS143" i="1"/>
  <c r="AQ143" i="1" s="1"/>
  <c r="BC162" i="1"/>
  <c r="Y162" i="1"/>
  <c r="BC148" i="1"/>
  <c r="Y148" i="1"/>
  <c r="J167" i="1"/>
  <c r="I153" i="1"/>
  <c r="AR153" i="1"/>
  <c r="AQ152" i="1"/>
  <c r="AX162" i="1"/>
  <c r="AN142" i="1"/>
  <c r="BD143" i="1"/>
  <c r="Z143" i="1"/>
  <c r="AQ172" i="1"/>
  <c r="AR177" i="1"/>
  <c r="AX177" i="1"/>
  <c r="AR187" i="1"/>
  <c r="AS167" i="1"/>
  <c r="AQ167" i="1"/>
  <c r="BC137" i="1"/>
  <c r="Y137" i="1"/>
  <c r="I141" i="1"/>
  <c r="AR141" i="1"/>
  <c r="BD137" i="1"/>
  <c r="Z137" i="1" s="1"/>
  <c r="AR137" i="1"/>
  <c r="AQ137" i="1"/>
  <c r="BC136" i="1"/>
  <c r="Y136" i="1"/>
  <c r="AX108" i="1"/>
  <c r="AR104" i="1"/>
  <c r="AX104" i="1"/>
  <c r="BC99" i="1"/>
  <c r="Y99" i="1"/>
  <c r="AX124" i="1"/>
  <c r="I99" i="1"/>
  <c r="AQ131" i="1"/>
  <c r="BC104" i="1"/>
  <c r="Y104" i="1" s="1"/>
  <c r="AR110" i="1"/>
  <c r="AQ110" i="1"/>
  <c r="BC110" i="1"/>
  <c r="Y110" i="1"/>
  <c r="AX111" i="1"/>
  <c r="I87" i="1"/>
  <c r="AS97" i="1"/>
  <c r="AQ97" i="1" s="1"/>
  <c r="AR87" i="1"/>
  <c r="J91" i="1"/>
  <c r="BD91" i="1"/>
  <c r="Z91" i="1"/>
  <c r="BD97" i="1"/>
  <c r="Z97" i="1"/>
  <c r="AQ86" i="1"/>
  <c r="BC79" i="1"/>
  <c r="W79" i="1"/>
  <c r="AR79" i="1"/>
  <c r="BC73" i="1"/>
  <c r="W73" i="1"/>
  <c r="AQ73" i="1"/>
  <c r="I73" i="1"/>
  <c r="I72" i="1"/>
  <c r="D13" i="2" s="1"/>
  <c r="AR57" i="1"/>
  <c r="AX57" i="1"/>
  <c r="BC57" i="1"/>
  <c r="W57" i="1"/>
  <c r="C14" i="4" s="1"/>
  <c r="AR67" i="1"/>
  <c r="AX67" i="1" s="1"/>
  <c r="AQ58" i="1"/>
  <c r="I67" i="1"/>
  <c r="AX71" i="1"/>
  <c r="J61" i="1"/>
  <c r="J71" i="1"/>
  <c r="AS44" i="1"/>
  <c r="BD49" i="1"/>
  <c r="AB49" i="1"/>
  <c r="BD44" i="1"/>
  <c r="AB44" i="1" s="1"/>
  <c r="AX41" i="1"/>
  <c r="I39" i="1"/>
  <c r="AQ14" i="1"/>
  <c r="AN12" i="1"/>
  <c r="BD1015" i="1"/>
  <c r="AB1015" i="1" s="1"/>
  <c r="J1015" i="1"/>
  <c r="AR918" i="1"/>
  <c r="AQ918" i="1" s="1"/>
  <c r="I918" i="1"/>
  <c r="BC918" i="1"/>
  <c r="AA918" i="1" s="1"/>
  <c r="BD913" i="1"/>
  <c r="AB913" i="1" s="1"/>
  <c r="J913" i="1"/>
  <c r="AR907" i="1"/>
  <c r="I907" i="1"/>
  <c r="AQ902" i="1"/>
  <c r="AX902" i="1"/>
  <c r="AR656" i="1"/>
  <c r="BC656" i="1"/>
  <c r="Y656" i="1" s="1"/>
  <c r="J643" i="1"/>
  <c r="AS643" i="1"/>
  <c r="AQ643" i="1" s="1"/>
  <c r="BD453" i="1"/>
  <c r="Z453" i="1"/>
  <c r="AS453" i="1"/>
  <c r="J453" i="1"/>
  <c r="AS425" i="1"/>
  <c r="AQ425" i="1" s="1"/>
  <c r="J425" i="1"/>
  <c r="BD425" i="1"/>
  <c r="Z425" i="1" s="1"/>
  <c r="J184" i="1"/>
  <c r="BD184" i="1"/>
  <c r="Z184" i="1" s="1"/>
  <c r="I175" i="1"/>
  <c r="BC175" i="1"/>
  <c r="Y175" i="1"/>
  <c r="BC160" i="1"/>
  <c r="Y160" i="1" s="1"/>
  <c r="AR160" i="1"/>
  <c r="AR156" i="1"/>
  <c r="I156" i="1"/>
  <c r="BC156" i="1"/>
  <c r="Y156" i="1" s="1"/>
  <c r="J33" i="1"/>
  <c r="BD33" i="1"/>
  <c r="AB33" i="1" s="1"/>
  <c r="AS33" i="1"/>
  <c r="BC28" i="1"/>
  <c r="AA28" i="1"/>
  <c r="I28" i="1"/>
  <c r="I12" i="1" s="1"/>
  <c r="D11" i="2" s="1"/>
  <c r="AR28" i="1"/>
  <c r="AQ28" i="1" s="1"/>
  <c r="AQ129" i="1"/>
  <c r="AQ1041" i="1"/>
  <c r="AQ22" i="1"/>
  <c r="AQ960" i="1"/>
  <c r="AR923" i="1"/>
  <c r="AX243" i="1"/>
  <c r="I951" i="1"/>
  <c r="AX558" i="1"/>
  <c r="BC907" i="1"/>
  <c r="AA907" i="1" s="1"/>
  <c r="AX118" i="1"/>
  <c r="AQ118" i="1"/>
  <c r="I1025" i="1"/>
  <c r="AR1025" i="1"/>
  <c r="AX1025" i="1" s="1"/>
  <c r="BD927" i="1"/>
  <c r="AB927" i="1" s="1"/>
  <c r="J927" i="1"/>
  <c r="AS927" i="1"/>
  <c r="AX927" i="1" s="1"/>
  <c r="AS661" i="1"/>
  <c r="BD661" i="1"/>
  <c r="Z661" i="1"/>
  <c r="AS655" i="1"/>
  <c r="BD655" i="1"/>
  <c r="Z655" i="1"/>
  <c r="BD38" i="1"/>
  <c r="AB38" i="1"/>
  <c r="AS38" i="1"/>
  <c r="AX38" i="1" s="1"/>
  <c r="AG38" i="1"/>
  <c r="K12" i="1"/>
  <c r="F11" i="2" s="1"/>
  <c r="I11" i="2" s="1"/>
  <c r="AS17" i="1"/>
  <c r="AX909" i="1"/>
  <c r="AS913" i="1"/>
  <c r="AQ913" i="1" s="1"/>
  <c r="AQ183" i="1"/>
  <c r="AX183" i="1"/>
  <c r="AQ788" i="1"/>
  <c r="AX788" i="1"/>
  <c r="BD1045" i="1"/>
  <c r="AB1045" i="1"/>
  <c r="J1045" i="1"/>
  <c r="I1030" i="1"/>
  <c r="BC1030" i="1"/>
  <c r="AA1030" i="1"/>
  <c r="AR931" i="1"/>
  <c r="AQ931" i="1"/>
  <c r="I931" i="1"/>
  <c r="I685" i="1"/>
  <c r="AR685" i="1"/>
  <c r="AQ685" i="1" s="1"/>
  <c r="AR679" i="1"/>
  <c r="BC679" i="1"/>
  <c r="Y679" i="1" s="1"/>
  <c r="I679" i="1"/>
  <c r="I676" i="1" s="1"/>
  <c r="D31" i="2" s="1"/>
  <c r="BD672" i="1"/>
  <c r="Z672" i="1" s="1"/>
  <c r="J672" i="1"/>
  <c r="J669" i="1"/>
  <c r="E30" i="2" s="1"/>
  <c r="AS672" i="1"/>
  <c r="BD665" i="1"/>
  <c r="Z665" i="1"/>
  <c r="AS665" i="1"/>
  <c r="J665" i="1"/>
  <c r="BC463" i="1"/>
  <c r="Y463" i="1" s="1"/>
  <c r="I463" i="1"/>
  <c r="AR463" i="1"/>
  <c r="AS206" i="1"/>
  <c r="AX206" i="1"/>
  <c r="J206" i="1"/>
  <c r="BD206" i="1"/>
  <c r="Z206" i="1"/>
  <c r="AS200" i="1"/>
  <c r="J200" i="1"/>
  <c r="I190" i="1"/>
  <c r="I189" i="1"/>
  <c r="D20" i="2"/>
  <c r="BC190" i="1"/>
  <c r="Y190" i="1"/>
  <c r="AR190" i="1"/>
  <c r="AQ190" i="1" s="1"/>
  <c r="J84" i="1"/>
  <c r="AS84" i="1"/>
  <c r="AQ84" i="1"/>
  <c r="BD84" i="1"/>
  <c r="Z84" i="1" s="1"/>
  <c r="AG76" i="1"/>
  <c r="AP74" i="1"/>
  <c r="K74" i="1"/>
  <c r="F14" i="2"/>
  <c r="I14" i="2" s="1"/>
  <c r="J64" i="1"/>
  <c r="AS64" i="1"/>
  <c r="AQ64" i="1"/>
  <c r="AG59" i="1"/>
  <c r="AP53" i="1"/>
  <c r="K53" i="1"/>
  <c r="F12" i="2" s="1"/>
  <c r="I12" i="2" s="1"/>
  <c r="J48" i="1"/>
  <c r="AS48" i="1"/>
  <c r="AX48" i="1"/>
  <c r="AX475" i="1"/>
  <c r="AX644" i="1"/>
  <c r="AX523" i="1"/>
  <c r="AQ482" i="1"/>
  <c r="BD17" i="1"/>
  <c r="AB17" i="1"/>
  <c r="C19" i="4" s="1"/>
  <c r="BC1045" i="1"/>
  <c r="AA1045" i="1" s="1"/>
  <c r="I1045" i="1"/>
  <c r="BD940" i="1"/>
  <c r="AB940" i="1" s="1"/>
  <c r="J940" i="1"/>
  <c r="AS940" i="1"/>
  <c r="J767" i="1"/>
  <c r="AS767" i="1"/>
  <c r="BD767" i="1"/>
  <c r="AB767" i="1" s="1"/>
  <c r="AG752" i="1"/>
  <c r="AP751" i="1" s="1"/>
  <c r="K751" i="1"/>
  <c r="F47" i="2"/>
  <c r="I47" i="2" s="1"/>
  <c r="BD744" i="1"/>
  <c r="J744" i="1"/>
  <c r="J743" i="1" s="1"/>
  <c r="E43" i="2" s="1"/>
  <c r="AS744" i="1"/>
  <c r="AR717" i="1"/>
  <c r="I717" i="1"/>
  <c r="AN698" i="1"/>
  <c r="AS697" i="1"/>
  <c r="BD697" i="1"/>
  <c r="Z697" i="1"/>
  <c r="J697" i="1"/>
  <c r="J695" i="1" s="1"/>
  <c r="E34" i="2" s="1"/>
  <c r="BD678" i="1"/>
  <c r="Z678" i="1" s="1"/>
  <c r="AS678" i="1"/>
  <c r="AX678" i="1" s="1"/>
  <c r="J678" i="1"/>
  <c r="J676" i="1"/>
  <c r="E31" i="2" s="1"/>
  <c r="I672" i="1"/>
  <c r="AR672" i="1"/>
  <c r="AQ672" i="1" s="1"/>
  <c r="J476" i="1"/>
  <c r="BD476" i="1"/>
  <c r="Z476" i="1" s="1"/>
  <c r="J462" i="1"/>
  <c r="AS462" i="1"/>
  <c r="AS349" i="1"/>
  <c r="AQ349" i="1"/>
  <c r="BD349" i="1"/>
  <c r="Z349" i="1" s="1"/>
  <c r="J94" i="1"/>
  <c r="BD94" i="1"/>
  <c r="Z94" i="1"/>
  <c r="BD962" i="1"/>
  <c r="AB962" i="1" s="1"/>
  <c r="AS962" i="1"/>
  <c r="AX962" i="1"/>
  <c r="BD956" i="1"/>
  <c r="AB956" i="1"/>
  <c r="AS956" i="1"/>
  <c r="AX956" i="1"/>
  <c r="AS782" i="1"/>
  <c r="AQ782" i="1" s="1"/>
  <c r="BD782" i="1"/>
  <c r="AB782" i="1"/>
  <c r="J782" i="1"/>
  <c r="AR777" i="1"/>
  <c r="BC777" i="1"/>
  <c r="AA777" i="1"/>
  <c r="AR744" i="1"/>
  <c r="AQ744" i="1" s="1"/>
  <c r="BC744" i="1"/>
  <c r="I744" i="1"/>
  <c r="I743" i="1" s="1"/>
  <c r="D43" i="2"/>
  <c r="AO719" i="1"/>
  <c r="J716" i="1"/>
  <c r="AS716" i="1"/>
  <c r="BD716" i="1"/>
  <c r="Z716" i="1"/>
  <c r="J247" i="1"/>
  <c r="BD247" i="1"/>
  <c r="Z247" i="1"/>
  <c r="AS242" i="1"/>
  <c r="BD242" i="1"/>
  <c r="Z242" i="1"/>
  <c r="AS231" i="1"/>
  <c r="AX231" i="1"/>
  <c r="J231" i="1"/>
  <c r="BD231" i="1"/>
  <c r="Z231" i="1"/>
  <c r="AS226" i="1"/>
  <c r="J226" i="1"/>
  <c r="I216" i="1"/>
  <c r="AR216" i="1"/>
  <c r="AQ216" i="1"/>
  <c r="BC216" i="1"/>
  <c r="Y216" i="1" s="1"/>
  <c r="AG210" i="1"/>
  <c r="AP191" i="1" s="1"/>
  <c r="K191" i="1"/>
  <c r="AX188" i="1"/>
  <c r="AQ188" i="1"/>
  <c r="AQ703" i="1"/>
  <c r="AX139" i="1"/>
  <c r="AX387" i="1"/>
  <c r="BC23" i="1"/>
  <c r="AA23" i="1"/>
  <c r="BD643" i="1"/>
  <c r="Z643" i="1"/>
  <c r="AQ1035" i="1"/>
  <c r="AQ1012" i="1"/>
  <c r="AX997" i="1"/>
  <c r="AX614" i="1"/>
  <c r="AQ614" i="1"/>
  <c r="AQ468" i="1"/>
  <c r="AX468" i="1"/>
  <c r="AR962" i="1"/>
  <c r="BC962" i="1"/>
  <c r="AA962" i="1" s="1"/>
  <c r="I962" i="1"/>
  <c r="J950" i="1"/>
  <c r="AS950" i="1"/>
  <c r="AQ950" i="1"/>
  <c r="BD950" i="1"/>
  <c r="AB950" i="1"/>
  <c r="BC945" i="1"/>
  <c r="AA945" i="1" s="1"/>
  <c r="I945" i="1"/>
  <c r="AS787" i="1"/>
  <c r="BD787" i="1"/>
  <c r="AB787" i="1"/>
  <c r="J787" i="1"/>
  <c r="BC782" i="1"/>
  <c r="AA782" i="1"/>
  <c r="I782" i="1"/>
  <c r="AR486" i="1"/>
  <c r="AQ486" i="1" s="1"/>
  <c r="BD480" i="1"/>
  <c r="Z480" i="1"/>
  <c r="AS480" i="1"/>
  <c r="BD252" i="1"/>
  <c r="Z252" i="1"/>
  <c r="AS252" i="1"/>
  <c r="J252" i="1"/>
  <c r="I121" i="1"/>
  <c r="AR121" i="1"/>
  <c r="BC121" i="1"/>
  <c r="Y121" i="1" s="1"/>
  <c r="J111" i="1"/>
  <c r="J98" i="1"/>
  <c r="E17" i="2" s="1"/>
  <c r="BD111" i="1"/>
  <c r="Z111" i="1" s="1"/>
  <c r="BD105" i="1"/>
  <c r="Z105" i="1"/>
  <c r="AS105" i="1"/>
  <c r="J105" i="1"/>
  <c r="AX481" i="1"/>
  <c r="AX88" i="1"/>
  <c r="AX700" i="1"/>
  <c r="AX508" i="1"/>
  <c r="AX552" i="1"/>
  <c r="AR23" i="1"/>
  <c r="AR446" i="1"/>
  <c r="BC902" i="1"/>
  <c r="AA902" i="1" s="1"/>
  <c r="AR175" i="1"/>
  <c r="AQ288" i="1"/>
  <c r="AX288" i="1"/>
  <c r="I160" i="1"/>
  <c r="AR967" i="1"/>
  <c r="AX967" i="1"/>
  <c r="I967" i="1"/>
  <c r="I812" i="1"/>
  <c r="BC812" i="1"/>
  <c r="AA812" i="1" s="1"/>
  <c r="BC806" i="1"/>
  <c r="AA806" i="1"/>
  <c r="AR806" i="1"/>
  <c r="AQ806" i="1"/>
  <c r="I806" i="1"/>
  <c r="BD528" i="1"/>
  <c r="Z528" i="1"/>
  <c r="J528" i="1"/>
  <c r="AS528" i="1"/>
  <c r="BD511" i="1"/>
  <c r="Z511" i="1" s="1"/>
  <c r="J511" i="1"/>
  <c r="AS511" i="1"/>
  <c r="AQ511" i="1" s="1"/>
  <c r="AN452" i="1"/>
  <c r="AR480" i="1"/>
  <c r="AQ480" i="1" s="1"/>
  <c r="BC480" i="1"/>
  <c r="Y480" i="1"/>
  <c r="I480" i="1"/>
  <c r="J375" i="1"/>
  <c r="BD375" i="1"/>
  <c r="Z375" i="1" s="1"/>
  <c r="AS375" i="1"/>
  <c r="AX375" i="1" s="1"/>
  <c r="AR365" i="1"/>
  <c r="I365" i="1"/>
  <c r="BC365" i="1"/>
  <c r="Y365" i="1" s="1"/>
  <c r="AR273" i="1"/>
  <c r="AQ273" i="1"/>
  <c r="I273" i="1"/>
  <c r="BD267" i="1"/>
  <c r="Z267" i="1" s="1"/>
  <c r="AS267" i="1"/>
  <c r="AX267" i="1"/>
  <c r="J267" i="1"/>
  <c r="AX197" i="1"/>
  <c r="AQ877" i="1"/>
  <c r="AQ498" i="1"/>
  <c r="AQ108" i="1"/>
  <c r="AQ720" i="1"/>
  <c r="AX804" i="1"/>
  <c r="AQ591" i="1"/>
  <c r="AX297" i="1"/>
  <c r="AQ272" i="1"/>
  <c r="AQ34" i="1"/>
  <c r="AX222" i="1"/>
  <c r="AQ222" i="1"/>
  <c r="J982" i="1"/>
  <c r="BD982" i="1"/>
  <c r="AB982" i="1"/>
  <c r="BC977" i="1"/>
  <c r="AA977" i="1"/>
  <c r="AR977" i="1"/>
  <c r="I977" i="1"/>
  <c r="AR816" i="1"/>
  <c r="I816" i="1"/>
  <c r="J811" i="1"/>
  <c r="AS811" i="1"/>
  <c r="AS797" i="1"/>
  <c r="J797" i="1"/>
  <c r="AS792" i="1"/>
  <c r="BD792" i="1"/>
  <c r="AB792" i="1"/>
  <c r="J792" i="1"/>
  <c r="BC541" i="1"/>
  <c r="Y541" i="1"/>
  <c r="AR541" i="1"/>
  <c r="AX541" i="1"/>
  <c r="AG540" i="1"/>
  <c r="K537" i="1"/>
  <c r="F25" i="2"/>
  <c r="I25" i="2" s="1"/>
  <c r="BC534" i="1"/>
  <c r="Y534" i="1"/>
  <c r="I534" i="1"/>
  <c r="BC528" i="1"/>
  <c r="Y528" i="1"/>
  <c r="I528" i="1"/>
  <c r="AR528" i="1"/>
  <c r="AQ528" i="1" s="1"/>
  <c r="BC522" i="1"/>
  <c r="Y522" i="1"/>
  <c r="I522" i="1"/>
  <c r="AR522" i="1"/>
  <c r="AX25" i="1"/>
  <c r="AQ111" i="1"/>
  <c r="AQ223" i="1"/>
  <c r="BC928" i="1"/>
  <c r="AA928" i="1"/>
  <c r="AX509" i="1"/>
  <c r="AQ104" i="1"/>
  <c r="AS772" i="1"/>
  <c r="AX994" i="1"/>
  <c r="BC988" i="1"/>
  <c r="AA988" i="1" s="1"/>
  <c r="I988" i="1"/>
  <c r="AR988" i="1"/>
  <c r="BD831" i="1"/>
  <c r="AB831" i="1"/>
  <c r="J831" i="1"/>
  <c r="J802" i="1" s="1"/>
  <c r="E55" i="2" s="1"/>
  <c r="J572" i="1"/>
  <c r="AS572" i="1"/>
  <c r="BD572" i="1"/>
  <c r="Z572" i="1"/>
  <c r="AO555" i="1"/>
  <c r="AR546" i="1"/>
  <c r="I546" i="1"/>
  <c r="AS540" i="1"/>
  <c r="AX540" i="1" s="1"/>
  <c r="BD540" i="1"/>
  <c r="Z540" i="1"/>
  <c r="J540" i="1"/>
  <c r="BD533" i="1"/>
  <c r="Z533" i="1"/>
  <c r="AS533" i="1"/>
  <c r="J533" i="1"/>
  <c r="AX460" i="1"/>
  <c r="AQ460" i="1"/>
  <c r="J395" i="1"/>
  <c r="BD395" i="1"/>
  <c r="Z395" i="1" s="1"/>
  <c r="AS395" i="1"/>
  <c r="AS384" i="1"/>
  <c r="BD384" i="1"/>
  <c r="Z384" i="1"/>
  <c r="J384" i="1"/>
  <c r="BC380" i="1"/>
  <c r="Y380" i="1"/>
  <c r="AR380" i="1"/>
  <c r="AQ380" i="1"/>
  <c r="AS283" i="1"/>
  <c r="AX283" i="1" s="1"/>
  <c r="J283" i="1"/>
  <c r="AS277" i="1"/>
  <c r="AX277" i="1"/>
  <c r="BD277" i="1"/>
  <c r="Z277" i="1" s="1"/>
  <c r="I130" i="1"/>
  <c r="I98" i="1" s="1"/>
  <c r="D17" i="2" s="1"/>
  <c r="BC130" i="1"/>
  <c r="Y130" i="1" s="1"/>
  <c r="AR130" i="1"/>
  <c r="AX130" i="1" s="1"/>
  <c r="AG124" i="1"/>
  <c r="K98" i="1"/>
  <c r="F17" i="2" s="1"/>
  <c r="I17" i="2"/>
  <c r="AR928" i="1"/>
  <c r="AQ928" i="1" s="1"/>
  <c r="K142" i="1"/>
  <c r="F19" i="2" s="1"/>
  <c r="I19" i="2" s="1"/>
  <c r="AR171" i="1"/>
  <c r="AX171" i="1" s="1"/>
  <c r="I446" i="1"/>
  <c r="AQ442" i="1"/>
  <c r="AX442" i="1"/>
  <c r="AX181" i="1"/>
  <c r="AQ181" i="1"/>
  <c r="BC999" i="1"/>
  <c r="AA999" i="1"/>
  <c r="AR999" i="1"/>
  <c r="BD993" i="1"/>
  <c r="AB993" i="1" s="1"/>
  <c r="AS993" i="1"/>
  <c r="BD987" i="1"/>
  <c r="AB987" i="1" s="1"/>
  <c r="AS987" i="1"/>
  <c r="AX987" i="1"/>
  <c r="J987" i="1"/>
  <c r="AS882" i="1"/>
  <c r="J882" i="1"/>
  <c r="BC877" i="1"/>
  <c r="AA877" i="1" s="1"/>
  <c r="I877" i="1"/>
  <c r="J871" i="1"/>
  <c r="BD871" i="1"/>
  <c r="AB871" i="1"/>
  <c r="BC848" i="1"/>
  <c r="AA848" i="1" s="1"/>
  <c r="AR848" i="1"/>
  <c r="AX848" i="1" s="1"/>
  <c r="AR831" i="1"/>
  <c r="BC831" i="1"/>
  <c r="AA831" i="1"/>
  <c r="AR622" i="1"/>
  <c r="BC622" i="1"/>
  <c r="Y622" i="1" s="1"/>
  <c r="I622" i="1"/>
  <c r="AR616" i="1"/>
  <c r="AX616" i="1" s="1"/>
  <c r="I616" i="1"/>
  <c r="AR610" i="1"/>
  <c r="AQ610" i="1" s="1"/>
  <c r="I610" i="1"/>
  <c r="AR605" i="1"/>
  <c r="BC605" i="1"/>
  <c r="Y605" i="1" s="1"/>
  <c r="BD599" i="1"/>
  <c r="Z599" i="1"/>
  <c r="J599" i="1"/>
  <c r="AS599" i="1"/>
  <c r="BD593" i="1"/>
  <c r="Z593" i="1" s="1"/>
  <c r="AS593" i="1"/>
  <c r="J593" i="1"/>
  <c r="AR588" i="1"/>
  <c r="BC588" i="1"/>
  <c r="Y588" i="1" s="1"/>
  <c r="AO571" i="1"/>
  <c r="BC572" i="1"/>
  <c r="Y572" i="1" s="1"/>
  <c r="I572" i="1"/>
  <c r="I564" i="1"/>
  <c r="AR564" i="1"/>
  <c r="AN555" i="1"/>
  <c r="I558" i="1"/>
  <c r="BC558" i="1"/>
  <c r="Y558" i="1" s="1"/>
  <c r="AS551" i="1"/>
  <c r="AQ551" i="1"/>
  <c r="BD551" i="1"/>
  <c r="Z551" i="1"/>
  <c r="AS545" i="1"/>
  <c r="AQ545" i="1" s="1"/>
  <c r="BD545" i="1"/>
  <c r="Z545" i="1" s="1"/>
  <c r="J545" i="1"/>
  <c r="AX447" i="1"/>
  <c r="AQ447" i="1"/>
  <c r="I406" i="1"/>
  <c r="AR406" i="1"/>
  <c r="AQ406" i="1" s="1"/>
  <c r="AX406" i="1"/>
  <c r="I401" i="1"/>
  <c r="AR401" i="1"/>
  <c r="I395" i="1"/>
  <c r="AR395" i="1"/>
  <c r="BC384" i="1"/>
  <c r="Y384" i="1"/>
  <c r="AR384" i="1"/>
  <c r="J379" i="1"/>
  <c r="BD379" i="1"/>
  <c r="Z379" i="1" s="1"/>
  <c r="AO142" i="1"/>
  <c r="J141" i="1"/>
  <c r="BD141" i="1"/>
  <c r="Z141" i="1"/>
  <c r="AS141" i="1"/>
  <c r="AG141" i="1"/>
  <c r="AP132" i="1"/>
  <c r="K132" i="1"/>
  <c r="J136" i="1"/>
  <c r="AS136" i="1"/>
  <c r="BD136" i="1"/>
  <c r="Z136" i="1"/>
  <c r="AQ855" i="1"/>
  <c r="AQ663" i="1"/>
  <c r="AQ41" i="1"/>
  <c r="I171" i="1"/>
  <c r="I142" i="1" s="1"/>
  <c r="D19" i="2" s="1"/>
  <c r="J956" i="1"/>
  <c r="AQ586" i="1"/>
  <c r="AX586" i="1"/>
  <c r="AR1005" i="1"/>
  <c r="AQ1005" i="1"/>
  <c r="I1005" i="1"/>
  <c r="BC1005" i="1"/>
  <c r="AA1005" i="1"/>
  <c r="BC882" i="1"/>
  <c r="AA882" i="1"/>
  <c r="AR882" i="1"/>
  <c r="AQ882" i="1" s="1"/>
  <c r="I871" i="1"/>
  <c r="AR871" i="1"/>
  <c r="AQ871" i="1"/>
  <c r="BC871" i="1"/>
  <c r="AA871" i="1"/>
  <c r="BC865" i="1"/>
  <c r="AA865" i="1"/>
  <c r="I865" i="1"/>
  <c r="I862" i="1" s="1"/>
  <c r="D56" i="2" s="1"/>
  <c r="AN802" i="1"/>
  <c r="J621" i="1"/>
  <c r="AS621" i="1"/>
  <c r="AQ621" i="1" s="1"/>
  <c r="BD615" i="1"/>
  <c r="Z615" i="1" s="1"/>
  <c r="AS615" i="1"/>
  <c r="AX615" i="1"/>
  <c r="BD609" i="1"/>
  <c r="Z609" i="1"/>
  <c r="AS609" i="1"/>
  <c r="AS604" i="1"/>
  <c r="AQ604" i="1"/>
  <c r="J604" i="1"/>
  <c r="BD604" i="1"/>
  <c r="Z604" i="1"/>
  <c r="J416" i="1"/>
  <c r="AS411" i="1"/>
  <c r="AX411" i="1" s="1"/>
  <c r="BD411" i="1"/>
  <c r="Z411" i="1"/>
  <c r="BD299" i="1"/>
  <c r="Z299" i="1"/>
  <c r="J299" i="1"/>
  <c r="I294" i="1"/>
  <c r="BC294" i="1"/>
  <c r="Y294" i="1" s="1"/>
  <c r="AR294" i="1"/>
  <c r="AX294" i="1"/>
  <c r="AX376" i="1"/>
  <c r="AX247" i="1"/>
  <c r="AX710" i="1"/>
  <c r="AX501" i="1"/>
  <c r="AQ639" i="1"/>
  <c r="AQ645" i="1"/>
  <c r="AQ652" i="1"/>
  <c r="AQ606" i="1"/>
  <c r="AS184" i="1"/>
  <c r="AS165" i="1"/>
  <c r="AQ165" i="1" s="1"/>
  <c r="BD165" i="1"/>
  <c r="Z165" i="1"/>
  <c r="AQ436" i="1"/>
  <c r="AQ964" i="1"/>
  <c r="AS1015" i="1"/>
  <c r="J945" i="1"/>
  <c r="AS1045" i="1"/>
  <c r="I902" i="1"/>
  <c r="AR897" i="1"/>
  <c r="AQ897" i="1" s="1"/>
  <c r="AX897" i="1"/>
  <c r="BC897" i="1"/>
  <c r="AA897" i="1"/>
  <c r="I887" i="1"/>
  <c r="BC887" i="1"/>
  <c r="AA887" i="1"/>
  <c r="AR887" i="1"/>
  <c r="AQ887" i="1" s="1"/>
  <c r="AQ651" i="1"/>
  <c r="AX651" i="1"/>
  <c r="BC627" i="1"/>
  <c r="Y627" i="1"/>
  <c r="AR627" i="1"/>
  <c r="AX478" i="1"/>
  <c r="AQ478" i="1"/>
  <c r="AR441" i="1"/>
  <c r="BC441" i="1"/>
  <c r="Y441" i="1" s="1"/>
  <c r="I441" i="1"/>
  <c r="AS435" i="1"/>
  <c r="J435" i="1"/>
  <c r="BD435" i="1"/>
  <c r="Z435" i="1"/>
  <c r="I430" i="1"/>
  <c r="BC430" i="1"/>
  <c r="Y430" i="1" s="1"/>
  <c r="I329" i="1"/>
  <c r="BC329" i="1"/>
  <c r="Y329" i="1" s="1"/>
  <c r="J304" i="1"/>
  <c r="AS304" i="1"/>
  <c r="AO364" i="1"/>
  <c r="AO191" i="1"/>
  <c r="AN862" i="1"/>
  <c r="I975" i="1"/>
  <c r="AQ55" i="1"/>
  <c r="AS1002" i="1"/>
  <c r="AQ1002" i="1" s="1"/>
  <c r="AN132" i="1"/>
  <c r="AX140" i="1"/>
  <c r="AX80" i="1"/>
  <c r="BC334" i="1"/>
  <c r="Y334" i="1" s="1"/>
  <c r="BD363" i="1"/>
  <c r="Z363" i="1" s="1"/>
  <c r="AQ821" i="1"/>
  <c r="AX161" i="1"/>
  <c r="AQ277" i="1"/>
  <c r="J74" i="1"/>
  <c r="E14" i="2"/>
  <c r="AQ51" i="1"/>
  <c r="BD1002" i="1"/>
  <c r="AB1002" i="1" s="1"/>
  <c r="AX158" i="1"/>
  <c r="AR884" i="1"/>
  <c r="AX884" i="1" s="1"/>
  <c r="AN669" i="1"/>
  <c r="AQ133" i="1"/>
  <c r="AX172" i="1"/>
  <c r="AO683" i="1"/>
  <c r="AN676" i="1"/>
  <c r="AQ413" i="1"/>
  <c r="AS1018" i="1"/>
  <c r="BD1013" i="1"/>
  <c r="AB1013" i="1"/>
  <c r="AR986" i="1"/>
  <c r="AX986" i="1" s="1"/>
  <c r="AR345" i="1"/>
  <c r="AX43" i="1"/>
  <c r="AR334" i="1"/>
  <c r="AQ334" i="1"/>
  <c r="AQ779" i="1"/>
  <c r="AO765" i="1"/>
  <c r="BD402" i="1"/>
  <c r="Z402" i="1"/>
  <c r="AQ517" i="1"/>
  <c r="AX786" i="1"/>
  <c r="AX539" i="1"/>
  <c r="AP719" i="1"/>
  <c r="AX1006" i="1"/>
  <c r="BC359" i="1"/>
  <c r="Y359" i="1" s="1"/>
  <c r="AX323" i="1"/>
  <c r="AX910" i="1"/>
  <c r="AQ910" i="1"/>
  <c r="AX659" i="1"/>
  <c r="AQ659" i="1"/>
  <c r="AQ534" i="1"/>
  <c r="AX534" i="1"/>
  <c r="AO802" i="1"/>
  <c r="AR993" i="1"/>
  <c r="AQ993" i="1"/>
  <c r="BC993" i="1"/>
  <c r="AA993" i="1" s="1"/>
  <c r="I993" i="1"/>
  <c r="BC896" i="1"/>
  <c r="AA896" i="1"/>
  <c r="I896" i="1"/>
  <c r="AR896" i="1"/>
  <c r="AR435" i="1"/>
  <c r="BC435" i="1"/>
  <c r="Y435" i="1"/>
  <c r="I435" i="1"/>
  <c r="AN364" i="1"/>
  <c r="AR375" i="1"/>
  <c r="I375" i="1"/>
  <c r="BC375" i="1"/>
  <c r="Y375" i="1"/>
  <c r="J369" i="1"/>
  <c r="BD369" i="1"/>
  <c r="Z369" i="1"/>
  <c r="AS369" i="1"/>
  <c r="BC242" i="1"/>
  <c r="Y242" i="1"/>
  <c r="AR242" i="1"/>
  <c r="I242" i="1"/>
  <c r="AQ595" i="1"/>
  <c r="AX210" i="1"/>
  <c r="AQ210" i="1"/>
  <c r="AR1029" i="1"/>
  <c r="AQ1029" i="1"/>
  <c r="BC1029" i="1"/>
  <c r="AA1029" i="1"/>
  <c r="I1029" i="1"/>
  <c r="I911" i="1"/>
  <c r="AR911" i="1"/>
  <c r="AQ911" i="1" s="1"/>
  <c r="BC911" i="1"/>
  <c r="AA911" i="1"/>
  <c r="BD608" i="1"/>
  <c r="Z608" i="1"/>
  <c r="J608" i="1"/>
  <c r="AS608" i="1"/>
  <c r="AR599" i="1"/>
  <c r="BC599" i="1"/>
  <c r="Y599" i="1"/>
  <c r="I599" i="1"/>
  <c r="BC593" i="1"/>
  <c r="Y593" i="1"/>
  <c r="AR593" i="1"/>
  <c r="AQ593" i="1" s="1"/>
  <c r="I593" i="1"/>
  <c r="I571" i="1" s="1"/>
  <c r="D28" i="2" s="1"/>
  <c r="AX701" i="1"/>
  <c r="AQ701" i="1"/>
  <c r="AX373" i="1"/>
  <c r="AX423" i="1"/>
  <c r="AQ423" i="1"/>
  <c r="AX116" i="1"/>
  <c r="AQ116" i="1"/>
  <c r="AX607" i="1"/>
  <c r="AQ607" i="1"/>
  <c r="AQ653" i="1"/>
  <c r="AX653" i="1"/>
  <c r="I1023" i="1"/>
  <c r="AR1023" i="1"/>
  <c r="AX1023" i="1" s="1"/>
  <c r="AQ1023" i="1"/>
  <c r="BC1023" i="1"/>
  <c r="AA1023" i="1"/>
  <c r="AN1004" i="1"/>
  <c r="I1008" i="1"/>
  <c r="BC1008" i="1"/>
  <c r="AA1008" i="1" s="1"/>
  <c r="AR1008" i="1"/>
  <c r="BD954" i="1"/>
  <c r="AB954" i="1" s="1"/>
  <c r="AS954" i="1"/>
  <c r="AQ954" i="1" s="1"/>
  <c r="J954" i="1"/>
  <c r="I933" i="1"/>
  <c r="AR933" i="1"/>
  <c r="AQ933" i="1" s="1"/>
  <c r="BC933" i="1"/>
  <c r="AA933" i="1" s="1"/>
  <c r="AG659" i="1"/>
  <c r="AP648" i="1"/>
  <c r="K648" i="1"/>
  <c r="F29" i="2"/>
  <c r="I29" i="2"/>
  <c r="AN648" i="1"/>
  <c r="AX642" i="1"/>
  <c r="AQ642" i="1"/>
  <c r="AN191" i="1"/>
  <c r="AX913" i="1"/>
  <c r="AX459" i="1"/>
  <c r="AQ459" i="1"/>
  <c r="AX640" i="1"/>
  <c r="AQ640" i="1"/>
  <c r="AS906" i="1"/>
  <c r="AX906" i="1" s="1"/>
  <c r="BD906" i="1"/>
  <c r="AB906" i="1" s="1"/>
  <c r="BD842" i="1"/>
  <c r="AB842" i="1" s="1"/>
  <c r="J842" i="1"/>
  <c r="AS842" i="1"/>
  <c r="AX842" i="1" s="1"/>
  <c r="BD836" i="1"/>
  <c r="AB836" i="1" s="1"/>
  <c r="J836" i="1"/>
  <c r="AQ558" i="1"/>
  <c r="BD998" i="1"/>
  <c r="AB998" i="1"/>
  <c r="J998" i="1"/>
  <c r="AS998" i="1"/>
  <c r="J944" i="1"/>
  <c r="AS944" i="1"/>
  <c r="AQ944" i="1" s="1"/>
  <c r="BD944" i="1"/>
  <c r="AB944" i="1" s="1"/>
  <c r="AX258" i="1"/>
  <c r="AX216" i="1"/>
  <c r="AQ359" i="1"/>
  <c r="AQ1006" i="1"/>
  <c r="AX473" i="1"/>
  <c r="AX315" i="1"/>
  <c r="AQ315" i="1"/>
  <c r="AQ981" i="1"/>
  <c r="AX631" i="1"/>
  <c r="AQ631" i="1"/>
  <c r="AX127" i="1"/>
  <c r="AQ127" i="1"/>
  <c r="AQ195" i="1"/>
  <c r="AX195" i="1"/>
  <c r="I670" i="1"/>
  <c r="AR670" i="1"/>
  <c r="BC670" i="1"/>
  <c r="Y670" i="1" s="1"/>
  <c r="AQ1031" i="1"/>
  <c r="AX1031" i="1"/>
  <c r="AQ227" i="1"/>
  <c r="AX227" i="1"/>
  <c r="AQ690" i="1"/>
  <c r="AX361" i="1"/>
  <c r="AX419" i="1"/>
  <c r="AX517" i="1"/>
  <c r="AX457" i="1"/>
  <c r="AX946" i="1"/>
  <c r="AQ959" i="1"/>
  <c r="AX959" i="1"/>
  <c r="AX335" i="1"/>
  <c r="AQ335" i="1"/>
  <c r="J740" i="1"/>
  <c r="J739" i="1" s="1"/>
  <c r="E41" i="2"/>
  <c r="BD740" i="1"/>
  <c r="AS740" i="1"/>
  <c r="K739" i="1"/>
  <c r="F41" i="2" s="1"/>
  <c r="I41" i="2" s="1"/>
  <c r="AG740" i="1"/>
  <c r="AP739" i="1" s="1"/>
  <c r="BD734" i="1"/>
  <c r="J734" i="1"/>
  <c r="J733" i="1" s="1"/>
  <c r="E38" i="2" s="1"/>
  <c r="AS734" i="1"/>
  <c r="J1014" i="1"/>
  <c r="AS1014" i="1"/>
  <c r="AQ630" i="1"/>
  <c r="AX630" i="1"/>
  <c r="J901" i="1"/>
  <c r="AS836" i="1"/>
  <c r="AX836" i="1"/>
  <c r="AQ565" i="1"/>
  <c r="AX565" i="1"/>
  <c r="AR748" i="1"/>
  <c r="AQ748" i="1" s="1"/>
  <c r="BC748" i="1"/>
  <c r="I748" i="1"/>
  <c r="I747" i="1" s="1"/>
  <c r="D45" i="2"/>
  <c r="AS674" i="1"/>
  <c r="J674" i="1"/>
  <c r="BD674" i="1"/>
  <c r="Z674" i="1" s="1"/>
  <c r="AX123" i="1"/>
  <c r="AR940" i="1"/>
  <c r="AX940" i="1" s="1"/>
  <c r="I940" i="1"/>
  <c r="I912" i="1" s="1"/>
  <c r="D57" i="2" s="1"/>
  <c r="BC940" i="1"/>
  <c r="AA940" i="1"/>
  <c r="AX193" i="1"/>
  <c r="AX1035" i="1"/>
  <c r="AQ938" i="1"/>
  <c r="AQ632" i="1"/>
  <c r="AX632" i="1"/>
  <c r="AX320" i="1"/>
  <c r="AQ320" i="1"/>
  <c r="AQ60" i="1"/>
  <c r="AX60" i="1"/>
  <c r="AS754" i="1"/>
  <c r="AQ754" i="1" s="1"/>
  <c r="BD754" i="1"/>
  <c r="AG754" i="1"/>
  <c r="AP753" i="1" s="1"/>
  <c r="K753" i="1"/>
  <c r="F48" i="2"/>
  <c r="I48" i="2" s="1"/>
  <c r="AR692" i="1"/>
  <c r="AQ692" i="1" s="1"/>
  <c r="BC692" i="1"/>
  <c r="Y692" i="1" s="1"/>
  <c r="AG691" i="1"/>
  <c r="AP683" i="1" s="1"/>
  <c r="K683" i="1"/>
  <c r="F32" i="2"/>
  <c r="I32" i="2" s="1"/>
  <c r="BD686" i="1"/>
  <c r="Z686" i="1"/>
  <c r="AS686" i="1"/>
  <c r="AX686" i="1"/>
  <c r="I681" i="1"/>
  <c r="AR681" i="1"/>
  <c r="BC681" i="1"/>
  <c r="Y681" i="1" s="1"/>
  <c r="AG680" i="1"/>
  <c r="AP676" i="1" s="1"/>
  <c r="K676" i="1"/>
  <c r="F31" i="2"/>
  <c r="I31" i="2" s="1"/>
  <c r="AQ901" i="1"/>
  <c r="BD1019" i="1"/>
  <c r="AB1019" i="1"/>
  <c r="AS1019" i="1"/>
  <c r="AQ1019" i="1" s="1"/>
  <c r="AQ520" i="1"/>
  <c r="AX58" i="1"/>
  <c r="AQ67" i="1"/>
  <c r="AQ211" i="1"/>
  <c r="AX845" i="1"/>
  <c r="AX916" i="1"/>
  <c r="AQ916" i="1"/>
  <c r="AQ324" i="1"/>
  <c r="AX324" i="1"/>
  <c r="AQ455" i="1"/>
  <c r="AX455" i="1"/>
  <c r="AX363" i="1"/>
  <c r="AX950" i="1"/>
  <c r="AX1026" i="1"/>
  <c r="AQ1026" i="1"/>
  <c r="AQ281" i="1"/>
  <c r="BC827" i="1"/>
  <c r="AA827" i="1"/>
  <c r="AR827" i="1"/>
  <c r="I817" i="1"/>
  <c r="AR817" i="1"/>
  <c r="BC817" i="1"/>
  <c r="AA817" i="1" s="1"/>
  <c r="I794" i="1"/>
  <c r="BC794" i="1"/>
  <c r="AA794" i="1" s="1"/>
  <c r="AR794" i="1"/>
  <c r="AG793" i="1"/>
  <c r="AP765" i="1" s="1"/>
  <c r="K765" i="1"/>
  <c r="F54" i="2"/>
  <c r="I54" i="2" s="1"/>
  <c r="BD901" i="1"/>
  <c r="AB901" i="1" s="1"/>
  <c r="J1019" i="1"/>
  <c r="AQ861" i="1"/>
  <c r="AX861" i="1"/>
  <c r="AX621" i="1"/>
  <c r="AX924" i="1"/>
  <c r="AQ924" i="1"/>
  <c r="AX1037" i="1"/>
  <c r="AX212" i="1"/>
  <c r="AQ212" i="1"/>
  <c r="AQ178" i="1"/>
  <c r="AX178" i="1"/>
  <c r="AQ668" i="1"/>
  <c r="AX668" i="1"/>
  <c r="K452" i="1"/>
  <c r="AQ833" i="1"/>
  <c r="AX833" i="1"/>
  <c r="AQ329" i="1"/>
  <c r="AX329" i="1"/>
  <c r="BD837" i="1"/>
  <c r="AB837" i="1"/>
  <c r="AS837" i="1"/>
  <c r="AQ837" i="1" s="1"/>
  <c r="AR832" i="1"/>
  <c r="I832" i="1"/>
  <c r="BC832" i="1"/>
  <c r="AA832" i="1"/>
  <c r="AP802" i="1"/>
  <c r="AX634" i="1"/>
  <c r="AQ634" i="1"/>
  <c r="AX377" i="1"/>
  <c r="AX327" i="1"/>
  <c r="AX670" i="1"/>
  <c r="AX394" i="1"/>
  <c r="AQ394" i="1"/>
  <c r="J906" i="1"/>
  <c r="AX899" i="1"/>
  <c r="AQ899" i="1"/>
  <c r="K862" i="1"/>
  <c r="F56" i="2"/>
  <c r="I56" i="2" s="1"/>
  <c r="AG901" i="1"/>
  <c r="AP862" i="1"/>
  <c r="AO862" i="1"/>
  <c r="BD887" i="1"/>
  <c r="AB887" i="1" s="1"/>
  <c r="AS887" i="1"/>
  <c r="J887" i="1"/>
  <c r="BD826" i="1"/>
  <c r="AB826" i="1"/>
  <c r="AS826" i="1"/>
  <c r="AX826" i="1"/>
  <c r="J826" i="1"/>
  <c r="BC798" i="1"/>
  <c r="AA798" i="1"/>
  <c r="I798" i="1"/>
  <c r="AR798" i="1"/>
  <c r="AR687" i="1"/>
  <c r="AX687" i="1" s="1"/>
  <c r="BC982" i="1"/>
  <c r="AA982" i="1"/>
  <c r="AR982" i="1"/>
  <c r="AQ982" i="1"/>
  <c r="I982" i="1"/>
  <c r="BD934" i="1"/>
  <c r="AB934" i="1"/>
  <c r="AS934" i="1"/>
  <c r="AQ934" i="1"/>
  <c r="J794" i="1"/>
  <c r="BD794" i="1"/>
  <c r="AB794" i="1"/>
  <c r="AS576" i="1"/>
  <c r="AQ576" i="1"/>
  <c r="J576" i="1"/>
  <c r="BC502" i="1"/>
  <c r="Y502" i="1"/>
  <c r="AR502" i="1"/>
  <c r="AQ502" i="1" s="1"/>
  <c r="I421" i="1"/>
  <c r="AR421" i="1"/>
  <c r="AQ421" i="1" s="1"/>
  <c r="AS237" i="1"/>
  <c r="BD237" i="1"/>
  <c r="Z237" i="1" s="1"/>
  <c r="J237" i="1"/>
  <c r="J191" i="1" s="1"/>
  <c r="E21" i="2" s="1"/>
  <c r="AS619" i="1"/>
  <c r="AX120" i="1"/>
  <c r="AQ120" i="1"/>
  <c r="AR754" i="1"/>
  <c r="BC754" i="1"/>
  <c r="AR664" i="1"/>
  <c r="I664" i="1"/>
  <c r="BD603" i="1"/>
  <c r="Z603" i="1" s="1"/>
  <c r="AS603" i="1"/>
  <c r="AX603" i="1"/>
  <c r="BD613" i="1"/>
  <c r="Z613" i="1"/>
  <c r="AS613" i="1"/>
  <c r="AQ613" i="1" s="1"/>
  <c r="J515" i="1"/>
  <c r="AS515" i="1"/>
  <c r="AX515" i="1" s="1"/>
  <c r="BC440" i="1"/>
  <c r="Y440" i="1" s="1"/>
  <c r="AR440" i="1"/>
  <c r="I440" i="1"/>
  <c r="BC328" i="1"/>
  <c r="Y328" i="1"/>
  <c r="I328" i="1"/>
  <c r="I261" i="1"/>
  <c r="AR261" i="1"/>
  <c r="AQ261" i="1" s="1"/>
  <c r="AS256" i="1"/>
  <c r="BD256" i="1"/>
  <c r="Z256" i="1" s="1"/>
  <c r="J256" i="1"/>
  <c r="AR251" i="1"/>
  <c r="AX251" i="1" s="1"/>
  <c r="I251" i="1"/>
  <c r="AX949" i="1"/>
  <c r="K364" i="1"/>
  <c r="F22" i="2"/>
  <c r="I22" i="2" s="1"/>
  <c r="AX771" i="1"/>
  <c r="J1032" i="1"/>
  <c r="BD1032" i="1"/>
  <c r="AB1032" i="1"/>
  <c r="AS1032" i="1"/>
  <c r="I960" i="1"/>
  <c r="BC960" i="1"/>
  <c r="AA960" i="1" s="1"/>
  <c r="AS900" i="1"/>
  <c r="AX900" i="1" s="1"/>
  <c r="BD900" i="1"/>
  <c r="AB900" i="1" s="1"/>
  <c r="J900" i="1"/>
  <c r="I674" i="1"/>
  <c r="AR674" i="1"/>
  <c r="I619" i="1"/>
  <c r="BC619" i="1"/>
  <c r="Y619" i="1"/>
  <c r="AR619" i="1"/>
  <c r="AQ619" i="1" s="1"/>
  <c r="I613" i="1"/>
  <c r="BC613" i="1"/>
  <c r="Y613" i="1"/>
  <c r="BD531" i="1"/>
  <c r="Z531" i="1" s="1"/>
  <c r="J531" i="1"/>
  <c r="AR456" i="1"/>
  <c r="BC456" i="1"/>
  <c r="Y456" i="1"/>
  <c r="I456" i="1"/>
  <c r="BD449" i="1"/>
  <c r="Z449" i="1"/>
  <c r="AS449" i="1"/>
  <c r="AX449" i="1"/>
  <c r="BD393" i="1"/>
  <c r="Z393" i="1" s="1"/>
  <c r="J393" i="1"/>
  <c r="J364" i="1" s="1"/>
  <c r="E22" i="2" s="1"/>
  <c r="AS393" i="1"/>
  <c r="AX393" i="1"/>
  <c r="J265" i="1"/>
  <c r="BD265" i="1"/>
  <c r="Z265" i="1"/>
  <c r="AQ1030" i="1"/>
  <c r="J619" i="1"/>
  <c r="BD863" i="1"/>
  <c r="AB863" i="1" s="1"/>
  <c r="AS863" i="1"/>
  <c r="J863" i="1"/>
  <c r="I847" i="1"/>
  <c r="BC847" i="1"/>
  <c r="AA847" i="1"/>
  <c r="BC830" i="1"/>
  <c r="AA830" i="1"/>
  <c r="AR830" i="1"/>
  <c r="AQ830" i="1" s="1"/>
  <c r="BD711" i="1"/>
  <c r="Z711" i="1" s="1"/>
  <c r="AS711" i="1"/>
  <c r="BD704" i="1"/>
  <c r="Z704" i="1"/>
  <c r="J704" i="1"/>
  <c r="BD699" i="1"/>
  <c r="Z699" i="1"/>
  <c r="J699" i="1"/>
  <c r="AR624" i="1"/>
  <c r="AQ624" i="1"/>
  <c r="I624" i="1"/>
  <c r="AS618" i="1"/>
  <c r="J618" i="1"/>
  <c r="AS554" i="1"/>
  <c r="AX554" i="1"/>
  <c r="BD554" i="1"/>
  <c r="Z554" i="1" s="1"/>
  <c r="J554" i="1"/>
  <c r="AR531" i="1"/>
  <c r="BC531" i="1"/>
  <c r="Y531" i="1"/>
  <c r="BD525" i="1"/>
  <c r="Z525" i="1"/>
  <c r="J525" i="1"/>
  <c r="AS525" i="1"/>
  <c r="AS466" i="1"/>
  <c r="BD466" i="1"/>
  <c r="Z466" i="1"/>
  <c r="J466" i="1"/>
  <c r="AX935" i="1"/>
  <c r="I1014" i="1"/>
  <c r="AX893" i="1"/>
  <c r="AR328" i="1"/>
  <c r="AX328" i="1"/>
  <c r="AS857" i="1"/>
  <c r="J857" i="1"/>
  <c r="BC767" i="1"/>
  <c r="AA767" i="1" s="1"/>
  <c r="I767" i="1"/>
  <c r="I765" i="1"/>
  <c r="D54" i="2" s="1"/>
  <c r="AR767" i="1"/>
  <c r="BC711" i="1"/>
  <c r="Y711" i="1" s="1"/>
  <c r="AR711" i="1"/>
  <c r="AQ711" i="1" s="1"/>
  <c r="J629" i="1"/>
  <c r="AS629" i="1"/>
  <c r="J342" i="1"/>
  <c r="BD342" i="1"/>
  <c r="Z342" i="1" s="1"/>
  <c r="AQ957" i="1"/>
  <c r="AX589" i="1"/>
  <c r="AX516" i="1"/>
  <c r="AR857" i="1"/>
  <c r="AQ857" i="1" s="1"/>
  <c r="BC857" i="1"/>
  <c r="AA857" i="1"/>
  <c r="I846" i="1"/>
  <c r="AR846" i="1"/>
  <c r="BD840" i="1"/>
  <c r="AB840" i="1" s="1"/>
  <c r="AS840" i="1"/>
  <c r="AQ840" i="1" s="1"/>
  <c r="I724" i="1"/>
  <c r="BC724" i="1"/>
  <c r="Y724" i="1" s="1"/>
  <c r="BC704" i="1"/>
  <c r="Y704" i="1"/>
  <c r="AR704" i="1"/>
  <c r="AQ704" i="1"/>
  <c r="AX704" i="1"/>
  <c r="AR629" i="1"/>
  <c r="AX629" i="1"/>
  <c r="BC629" i="1"/>
  <c r="Y629" i="1"/>
  <c r="I629" i="1"/>
  <c r="BC398" i="1"/>
  <c r="Y398" i="1"/>
  <c r="AR398" i="1"/>
  <c r="AQ398" i="1" s="1"/>
  <c r="AX398" i="1"/>
  <c r="BD347" i="1"/>
  <c r="Z347" i="1" s="1"/>
  <c r="J347" i="1"/>
  <c r="AS347" i="1"/>
  <c r="AR213" i="1"/>
  <c r="AQ213" i="1" s="1"/>
  <c r="BC213" i="1"/>
  <c r="Y213" i="1" s="1"/>
  <c r="I213" i="1"/>
  <c r="AQ838" i="1"/>
  <c r="AX980" i="1"/>
  <c r="AR906" i="1"/>
  <c r="BC356" i="1"/>
  <c r="Y356" i="1"/>
  <c r="AR356" i="1"/>
  <c r="AQ356" i="1" s="1"/>
  <c r="I356" i="1"/>
  <c r="AS351" i="1"/>
  <c r="AX351" i="1"/>
  <c r="J351" i="1"/>
  <c r="J176" i="1"/>
  <c r="AS176" i="1"/>
  <c r="AQ221" i="1"/>
  <c r="AX689" i="1"/>
  <c r="AQ235" i="1"/>
  <c r="BC445" i="1"/>
  <c r="Y445" i="1"/>
  <c r="AS889" i="1"/>
  <c r="AQ889" i="1" s="1"/>
  <c r="J889" i="1"/>
  <c r="J780" i="1"/>
  <c r="AS780" i="1"/>
  <c r="AR729" i="1"/>
  <c r="AQ729" i="1" s="1"/>
  <c r="I729" i="1"/>
  <c r="BD412" i="1"/>
  <c r="Z412" i="1"/>
  <c r="AS412" i="1"/>
  <c r="AQ412" i="1"/>
  <c r="BD222" i="1"/>
  <c r="Z222" i="1" s="1"/>
  <c r="J222" i="1"/>
  <c r="AQ43" i="1"/>
  <c r="AR445" i="1"/>
  <c r="AQ445" i="1" s="1"/>
  <c r="AX77" i="1"/>
  <c r="BD510" i="1"/>
  <c r="Z510" i="1" s="1"/>
  <c r="AS510" i="1"/>
  <c r="AQ510" i="1"/>
  <c r="I906" i="1"/>
  <c r="BC251" i="1"/>
  <c r="Y251" i="1" s="1"/>
  <c r="BD1039" i="1"/>
  <c r="AB1039" i="1"/>
  <c r="J1039" i="1"/>
  <c r="AS1039" i="1"/>
  <c r="AQ1039" i="1"/>
  <c r="AR1000" i="1"/>
  <c r="I1000" i="1"/>
  <c r="AR780" i="1"/>
  <c r="I780" i="1"/>
  <c r="AS650" i="1"/>
  <c r="AX650" i="1" s="1"/>
  <c r="BD650" i="1"/>
  <c r="Z650" i="1"/>
  <c r="I638" i="1"/>
  <c r="AR638" i="1"/>
  <c r="AX638" i="1" s="1"/>
  <c r="I583" i="1"/>
  <c r="BC583" i="1"/>
  <c r="Y583" i="1" s="1"/>
  <c r="AR583" i="1"/>
  <c r="AQ583" i="1"/>
  <c r="BD577" i="1"/>
  <c r="Z577" i="1" s="1"/>
  <c r="AS577" i="1"/>
  <c r="BC565" i="1"/>
  <c r="Y565" i="1"/>
  <c r="I565" i="1"/>
  <c r="I360" i="1"/>
  <c r="AR360" i="1"/>
  <c r="I300" i="1"/>
  <c r="AR300" i="1"/>
  <c r="AX300" i="1" s="1"/>
  <c r="BC295" i="1"/>
  <c r="Y295" i="1"/>
  <c r="AR295" i="1"/>
  <c r="AX295" i="1"/>
  <c r="BD180" i="1"/>
  <c r="Z180" i="1"/>
  <c r="J180" i="1"/>
  <c r="AX271" i="1"/>
  <c r="AX321" i="1"/>
  <c r="BD456" i="1"/>
  <c r="Z456" i="1" s="1"/>
  <c r="AX563" i="1"/>
  <c r="BD515" i="1"/>
  <c r="Z515" i="1"/>
  <c r="AX307" i="1"/>
  <c r="AQ307" i="1"/>
  <c r="J931" i="1"/>
  <c r="BD931" i="1"/>
  <c r="AB931" i="1" s="1"/>
  <c r="I883" i="1"/>
  <c r="AR883" i="1"/>
  <c r="AQ883" i="1"/>
  <c r="AS827" i="1"/>
  <c r="AQ827" i="1" s="1"/>
  <c r="J827" i="1"/>
  <c r="BC728" i="1"/>
  <c r="Y728" i="1" s="1"/>
  <c r="AR728" i="1"/>
  <c r="I594" i="1"/>
  <c r="BC594" i="1"/>
  <c r="Y594" i="1"/>
  <c r="BD486" i="1"/>
  <c r="Z486" i="1" s="1"/>
  <c r="J486" i="1"/>
  <c r="J452" i="1" s="1"/>
  <c r="E24" i="2" s="1"/>
  <c r="I426" i="1"/>
  <c r="BC426" i="1"/>
  <c r="Y426" i="1"/>
  <c r="AR426" i="1"/>
  <c r="AX426" i="1"/>
  <c r="AS95" i="1"/>
  <c r="AX95" i="1" s="1"/>
  <c r="AR122" i="1"/>
  <c r="AQ122" i="1" s="1"/>
  <c r="AQ374" i="1"/>
  <c r="AX448" i="1"/>
  <c r="AX203" i="1"/>
  <c r="AS945" i="1"/>
  <c r="AX945" i="1" s="1"/>
  <c r="I136" i="1"/>
  <c r="AS439" i="1"/>
  <c r="AR709" i="1"/>
  <c r="AX709" i="1"/>
  <c r="AQ709" i="1"/>
  <c r="AQ1027" i="1"/>
  <c r="AX561" i="1"/>
  <c r="J157" i="1"/>
  <c r="BD113" i="1"/>
  <c r="Z113" i="1" s="1"/>
  <c r="AQ696" i="1"/>
  <c r="AQ611" i="1"/>
  <c r="J458" i="1"/>
  <c r="AS1021" i="1"/>
  <c r="AQ1021" i="1" s="1"/>
  <c r="J975" i="1"/>
  <c r="BD75" i="1"/>
  <c r="X75" i="1"/>
  <c r="C15" i="4" s="1"/>
  <c r="BD140" i="1"/>
  <c r="Z140" i="1" s="1"/>
  <c r="J480" i="1"/>
  <c r="AR444" i="1"/>
  <c r="AX444" i="1" s="1"/>
  <c r="AQ444" i="1"/>
  <c r="J908" i="1"/>
  <c r="AS75" i="1"/>
  <c r="AX75" i="1"/>
  <c r="I449" i="1"/>
  <c r="AQ318" i="1"/>
  <c r="J49" i="1"/>
  <c r="I88" i="1"/>
  <c r="I83" i="1"/>
  <c r="D16" i="2" s="1"/>
  <c r="AQ29" i="1"/>
  <c r="AQ163" i="1"/>
  <c r="AQ670" i="1"/>
  <c r="AX285" i="1"/>
  <c r="AQ285" i="1"/>
  <c r="AQ433" i="1"/>
  <c r="AQ1003" i="1"/>
  <c r="AX1003" i="1"/>
  <c r="AX975" i="1"/>
  <c r="AQ975" i="1"/>
  <c r="AQ869" i="1"/>
  <c r="AX869" i="1"/>
  <c r="AX784" i="1"/>
  <c r="AQ321" i="1"/>
  <c r="AQ268" i="1"/>
  <c r="AX268" i="1"/>
  <c r="AX776" i="1"/>
  <c r="AQ776" i="1"/>
  <c r="AQ927" i="1"/>
  <c r="AX230" i="1"/>
  <c r="AQ230" i="1"/>
  <c r="AQ921" i="1"/>
  <c r="AX921" i="1"/>
  <c r="AX579" i="1"/>
  <c r="AQ171" i="1"/>
  <c r="AQ641" i="1"/>
  <c r="AX641" i="1"/>
  <c r="AQ936" i="1"/>
  <c r="AX936" i="1"/>
  <c r="AX218" i="1"/>
  <c r="AQ218" i="1"/>
  <c r="AX157" i="1"/>
  <c r="AQ157" i="1"/>
  <c r="AQ240" i="1"/>
  <c r="AX240" i="1"/>
  <c r="AQ891" i="1"/>
  <c r="AX891" i="1"/>
  <c r="AQ424" i="1"/>
  <c r="AX424" i="1"/>
  <c r="AX533" i="1"/>
  <c r="AQ533" i="1"/>
  <c r="AQ810" i="1"/>
  <c r="AQ410" i="1"/>
  <c r="AX410" i="1"/>
  <c r="AQ39" i="1"/>
  <c r="AX39" i="1"/>
  <c r="AX713" i="1"/>
  <c r="AQ713" i="1"/>
  <c r="AQ859" i="1"/>
  <c r="AQ448" i="1"/>
  <c r="AQ705" i="1"/>
  <c r="AX190" i="1"/>
  <c r="AX149" i="1"/>
  <c r="AX99" i="1"/>
  <c r="AR580" i="1"/>
  <c r="AQ580" i="1" s="1"/>
  <c r="I580" i="1"/>
  <c r="I752" i="1"/>
  <c r="I751" i="1" s="1"/>
  <c r="D47" i="2" s="1"/>
  <c r="AR752" i="1"/>
  <c r="AQ752" i="1" s="1"/>
  <c r="BC545" i="1"/>
  <c r="Y545" i="1"/>
  <c r="I545" i="1"/>
  <c r="I537" i="1"/>
  <c r="D25" i="2" s="1"/>
  <c r="AP537" i="1"/>
  <c r="I517" i="1"/>
  <c r="BC517" i="1"/>
  <c r="Y517" i="1" s="1"/>
  <c r="AS499" i="1"/>
  <c r="AQ499" i="1"/>
  <c r="J499" i="1"/>
  <c r="AR290" i="1"/>
  <c r="AQ290" i="1" s="1"/>
  <c r="BC290" i="1"/>
  <c r="Y290" i="1"/>
  <c r="J732" i="1"/>
  <c r="J731" i="1" s="1"/>
  <c r="E37" i="2" s="1"/>
  <c r="AS732" i="1"/>
  <c r="I659" i="1"/>
  <c r="BC659" i="1"/>
  <c r="Y659" i="1" s="1"/>
  <c r="AQ232" i="1"/>
  <c r="J853" i="1"/>
  <c r="AS853" i="1"/>
  <c r="AQ853" i="1" s="1"/>
  <c r="AX773" i="1"/>
  <c r="AR732" i="1"/>
  <c r="AQ732" i="1" s="1"/>
  <c r="I732" i="1"/>
  <c r="I731" i="1"/>
  <c r="D37" i="2" s="1"/>
  <c r="AR600" i="1"/>
  <c r="I600" i="1"/>
  <c r="BC600" i="1"/>
  <c r="Y600" i="1"/>
  <c r="AX164" i="1"/>
  <c r="AQ182" i="1"/>
  <c r="AQ457" i="1"/>
  <c r="AX135" i="1"/>
  <c r="AQ465" i="1"/>
  <c r="AX115" i="1"/>
  <c r="AX696" i="1"/>
  <c r="M761" i="1"/>
  <c r="G52" i="2" s="1"/>
  <c r="BA762" i="1"/>
  <c r="J666" i="1"/>
  <c r="BD666" i="1"/>
  <c r="Z666" i="1"/>
  <c r="AX179" i="1"/>
  <c r="AS939" i="1"/>
  <c r="BD939" i="1"/>
  <c r="AB939" i="1" s="1"/>
  <c r="AQ106" i="1"/>
  <c r="AN765" i="1"/>
  <c r="AQ997" i="1"/>
  <c r="AX34" i="1"/>
  <c r="M745" i="1"/>
  <c r="G44" i="2"/>
  <c r="BA746" i="1"/>
  <c r="AR723" i="1"/>
  <c r="BC723" i="1"/>
  <c r="Y723" i="1"/>
  <c r="I723" i="1"/>
  <c r="AX844" i="1"/>
  <c r="AQ814" i="1"/>
  <c r="AQ244" i="1"/>
  <c r="BD268" i="1"/>
  <c r="Z268" i="1" s="1"/>
  <c r="AQ428" i="1"/>
  <c r="BD708" i="1"/>
  <c r="Z708" i="1" s="1"/>
  <c r="AX113" i="1"/>
  <c r="AQ113" i="1"/>
  <c r="AX93" i="1"/>
  <c r="AQ93" i="1"/>
  <c r="I1046" i="1"/>
  <c r="AR1046" i="1"/>
  <c r="BC1046" i="1"/>
  <c r="AA1046" i="1" s="1"/>
  <c r="AQ350" i="1"/>
  <c r="AX350" i="1"/>
  <c r="AR995" i="1"/>
  <c r="AQ995" i="1" s="1"/>
  <c r="AX995" i="1"/>
  <c r="I995" i="1"/>
  <c r="BC995" i="1"/>
  <c r="AA995" i="1"/>
  <c r="AO912" i="1"/>
  <c r="BC955" i="1"/>
  <c r="AA955" i="1"/>
  <c r="AR955" i="1"/>
  <c r="AX955" i="1" s="1"/>
  <c r="I955" i="1"/>
  <c r="AG954" i="1"/>
  <c r="AP912" i="1" s="1"/>
  <c r="K912" i="1"/>
  <c r="F57" i="2" s="1"/>
  <c r="I57" i="2" s="1"/>
  <c r="AR885" i="1"/>
  <c r="AX885" i="1"/>
  <c r="BC885" i="1"/>
  <c r="AA885" i="1" s="1"/>
  <c r="AQ646" i="1"/>
  <c r="AQ228" i="1"/>
  <c r="AX112" i="1"/>
  <c r="AQ112" i="1"/>
  <c r="AS999" i="1"/>
  <c r="J999" i="1"/>
  <c r="BD999" i="1"/>
  <c r="AB999" i="1" s="1"/>
  <c r="BD985" i="1"/>
  <c r="AB985" i="1"/>
  <c r="AS985" i="1"/>
  <c r="AQ985" i="1"/>
  <c r="J985" i="1"/>
  <c r="AQ199" i="1"/>
  <c r="AX199" i="1"/>
  <c r="AQ474" i="1"/>
  <c r="AX474" i="1"/>
  <c r="BC1040" i="1"/>
  <c r="AA1040" i="1" s="1"/>
  <c r="AR1040" i="1"/>
  <c r="I1040" i="1"/>
  <c r="I1035" i="1"/>
  <c r="BC1035" i="1"/>
  <c r="AA1035" i="1" s="1"/>
  <c r="BD989" i="1"/>
  <c r="AB989" i="1" s="1"/>
  <c r="J989" i="1"/>
  <c r="AQ443" i="1"/>
  <c r="AX443" i="1"/>
  <c r="BC1006" i="1"/>
  <c r="AA1006" i="1" s="1"/>
  <c r="I1006" i="1"/>
  <c r="I74" i="1"/>
  <c r="D14" i="2" s="1"/>
  <c r="BC992" i="1"/>
  <c r="AA992" i="1"/>
  <c r="I992" i="1"/>
  <c r="AR992" i="1"/>
  <c r="AQ992" i="1" s="1"/>
  <c r="AX46" i="1"/>
  <c r="AQ46" i="1"/>
  <c r="AX64" i="1"/>
  <c r="AQ54" i="1"/>
  <c r="AX54" i="1"/>
  <c r="AG1009" i="1"/>
  <c r="AX37" i="1"/>
  <c r="AQ37" i="1"/>
  <c r="AO1004" i="1"/>
  <c r="BD1009" i="1"/>
  <c r="AB1009" i="1" s="1"/>
  <c r="AS1009" i="1"/>
  <c r="AX1009" i="1"/>
  <c r="AX432" i="1"/>
  <c r="AQ432" i="1"/>
  <c r="BC1013" i="1"/>
  <c r="AA1013" i="1" s="1"/>
  <c r="I1013" i="1"/>
  <c r="K802" i="1"/>
  <c r="F55" i="2" s="1"/>
  <c r="I55" i="2" s="1"/>
  <c r="AX785" i="1"/>
  <c r="AX528" i="1"/>
  <c r="AX931" i="1"/>
  <c r="AX646" i="1"/>
  <c r="J773" i="1"/>
  <c r="J765" i="1" s="1"/>
  <c r="E54" i="2" s="1"/>
  <c r="AQ628" i="1"/>
  <c r="AQ773" i="1"/>
  <c r="I132" i="1"/>
  <c r="D18" i="2" s="1"/>
  <c r="AN912" i="1"/>
  <c r="BC770" i="1"/>
  <c r="AA770" i="1" s="1"/>
  <c r="AQ170" i="1"/>
  <c r="AX814" i="1"/>
  <c r="AQ469" i="1"/>
  <c r="AX727" i="1"/>
  <c r="I770" i="1"/>
  <c r="BD766" i="1"/>
  <c r="AB766" i="1"/>
  <c r="AX263" i="1"/>
  <c r="BD773" i="1"/>
  <c r="AB773" i="1"/>
  <c r="J719" i="1"/>
  <c r="E36" i="2"/>
  <c r="AQ978" i="1"/>
  <c r="AG732" i="1"/>
  <c r="AP731" i="1"/>
  <c r="AQ233" i="1"/>
  <c r="AX866" i="1"/>
  <c r="AO698" i="1"/>
  <c r="AO676" i="1"/>
  <c r="I669" i="1"/>
  <c r="D30" i="2" s="1"/>
  <c r="AP669" i="1"/>
  <c r="AN571" i="1"/>
  <c r="AP452" i="1"/>
  <c r="AO132" i="1"/>
  <c r="AN98" i="1"/>
  <c r="AO98" i="1"/>
  <c r="AX109" i="1"/>
  <c r="AN83" i="1"/>
  <c r="AO53" i="1"/>
  <c r="I53" i="1"/>
  <c r="D12" i="2" s="1"/>
  <c r="C20" i="4"/>
  <c r="BC709" i="1"/>
  <c r="Y709" i="1"/>
  <c r="BC708" i="1"/>
  <c r="Y708" i="1" s="1"/>
  <c r="AQ49" i="1"/>
  <c r="AQ197" i="1"/>
  <c r="AQ1025" i="1"/>
  <c r="AX94" i="1"/>
  <c r="AX186" i="1"/>
  <c r="AX947" i="1"/>
  <c r="AQ344" i="1"/>
  <c r="AX344" i="1"/>
  <c r="AX79" i="1"/>
  <c r="AQ79" i="1"/>
  <c r="BA729" i="1"/>
  <c r="M719" i="1"/>
  <c r="G36" i="2" s="1"/>
  <c r="AG694" i="1"/>
  <c r="AP693" i="1"/>
  <c r="K693" i="1"/>
  <c r="F33" i="2" s="1"/>
  <c r="I33" i="2" s="1"/>
  <c r="BA561" i="1"/>
  <c r="M555" i="1"/>
  <c r="G26" i="2" s="1"/>
  <c r="AP98" i="1"/>
  <c r="C21" i="4"/>
  <c r="AP12" i="1"/>
  <c r="AX18" i="1"/>
  <c r="AQ18" i="1"/>
  <c r="AX978" i="1"/>
  <c r="AX192" i="1"/>
  <c r="AQ297" i="1"/>
  <c r="AX330" i="1"/>
  <c r="AX706" i="1"/>
  <c r="AP571" i="1"/>
  <c r="AX628" i="1"/>
  <c r="AQ168" i="1"/>
  <c r="AX168" i="1"/>
  <c r="AO12" i="1"/>
  <c r="C28" i="4"/>
  <c r="F28" i="4"/>
  <c r="BD24" i="1"/>
  <c r="AB24" i="1" s="1"/>
  <c r="J24" i="1"/>
  <c r="AX372" i="1"/>
  <c r="AX20" i="1"/>
  <c r="AX235" i="1"/>
  <c r="AQ491" i="1"/>
  <c r="AS24" i="1"/>
  <c r="AX24" i="1" s="1"/>
  <c r="AQ24" i="1"/>
  <c r="I254" i="1"/>
  <c r="BC254" i="1"/>
  <c r="Y254" i="1" s="1"/>
  <c r="AR254" i="1"/>
  <c r="AX355" i="1"/>
  <c r="AQ408" i="1"/>
  <c r="AX196" i="1"/>
  <c r="AQ438" i="1"/>
  <c r="AS174" i="1"/>
  <c r="AQ174" i="1"/>
  <c r="AG711" i="1"/>
  <c r="AP698" i="1"/>
  <c r="K698" i="1"/>
  <c r="F35" i="2"/>
  <c r="I35" i="2"/>
  <c r="BA661" i="1"/>
  <c r="M648" i="1"/>
  <c r="G29" i="2"/>
  <c r="BA214" i="1"/>
  <c r="M191" i="1"/>
  <c r="G21" i="2" s="1"/>
  <c r="AQ880" i="1"/>
  <c r="AQ615" i="1"/>
  <c r="AQ19" i="1"/>
  <c r="AX349" i="1"/>
  <c r="AX31" i="1"/>
  <c r="AQ286" i="1"/>
  <c r="AX602" i="1"/>
  <c r="AX685" i="1"/>
  <c r="J174" i="1"/>
  <c r="J142" i="1"/>
  <c r="E19" i="2" s="1"/>
  <c r="BA88" i="1"/>
  <c r="M83" i="1"/>
  <c r="G16" i="2" s="1"/>
  <c r="AG85" i="1"/>
  <c r="AP83" i="1" s="1"/>
  <c r="K83" i="1"/>
  <c r="F16" i="2"/>
  <c r="I16" i="2" s="1"/>
  <c r="AX1001" i="1"/>
  <c r="AQ489" i="1"/>
  <c r="AS1007" i="1"/>
  <c r="C27" i="4"/>
  <c r="AQ203" i="1"/>
  <c r="AQ603" i="1"/>
  <c r="J1007" i="1"/>
  <c r="BA1044" i="1"/>
  <c r="M1004" i="1"/>
  <c r="G58" i="2"/>
  <c r="I730" i="1"/>
  <c r="BC730" i="1"/>
  <c r="Y730" i="1" s="1"/>
  <c r="AR730" i="1"/>
  <c r="AQ629" i="1"/>
  <c r="BA444" i="1"/>
  <c r="M364" i="1"/>
  <c r="G22" i="2"/>
  <c r="AX221" i="1"/>
  <c r="AX381" i="1"/>
  <c r="AQ366" i="1"/>
  <c r="AX36" i="1"/>
  <c r="AX467" i="1"/>
  <c r="AP364" i="1"/>
  <c r="AQ109" i="1"/>
  <c r="AP142" i="1"/>
  <c r="AQ362" i="1"/>
  <c r="AX762" i="1"/>
  <c r="AQ298" i="1"/>
  <c r="AX298" i="1"/>
  <c r="BD977" i="1"/>
  <c r="AB977" i="1" s="1"/>
  <c r="AS977" i="1"/>
  <c r="AX137" i="1"/>
  <c r="BD1028" i="1"/>
  <c r="AB1028" i="1"/>
  <c r="J1028" i="1"/>
  <c r="AS1028" i="1"/>
  <c r="AQ1028" i="1"/>
  <c r="I879" i="1"/>
  <c r="AR879" i="1"/>
  <c r="AQ879" i="1" s="1"/>
  <c r="J896" i="1"/>
  <c r="AS896" i="1"/>
  <c r="AQ896" i="1"/>
  <c r="AX890" i="1"/>
  <c r="AQ890" i="1"/>
  <c r="I1039" i="1"/>
  <c r="BC1039" i="1"/>
  <c r="AA1039" i="1" s="1"/>
  <c r="AQ866" i="1"/>
  <c r="AX428" i="1"/>
  <c r="AR708" i="1"/>
  <c r="AQ708" i="1" s="1"/>
  <c r="AX708" i="1"/>
  <c r="AX1005" i="1"/>
  <c r="AQ1034" i="1"/>
  <c r="AX1034" i="1"/>
  <c r="AQ987" i="1"/>
  <c r="AX993" i="1"/>
  <c r="AX976" i="1"/>
  <c r="AQ976" i="1"/>
  <c r="AX948" i="1"/>
  <c r="AQ948" i="1"/>
  <c r="AX881" i="1"/>
  <c r="AQ881" i="1"/>
  <c r="AX876" i="1"/>
  <c r="AQ864" i="1"/>
  <c r="AX864" i="1"/>
  <c r="AX911" i="1"/>
  <c r="AQ870" i="1"/>
  <c r="AQ835" i="1"/>
  <c r="AX835" i="1"/>
  <c r="AX858" i="1"/>
  <c r="AQ799" i="1"/>
  <c r="AX799" i="1"/>
  <c r="AQ781" i="1"/>
  <c r="AX781" i="1"/>
  <c r="AQ766" i="1"/>
  <c r="AQ793" i="1"/>
  <c r="AQ758" i="1"/>
  <c r="AQ702" i="1"/>
  <c r="AX702" i="1"/>
  <c r="AX592" i="1"/>
  <c r="AQ592" i="1"/>
  <c r="AX580" i="1"/>
  <c r="AQ633" i="1"/>
  <c r="AX633" i="1"/>
  <c r="AQ620" i="1"/>
  <c r="AX620" i="1"/>
  <c r="AX562" i="1"/>
  <c r="AQ562" i="1"/>
  <c r="AQ554" i="1"/>
  <c r="AQ550" i="1"/>
  <c r="AX550" i="1"/>
  <c r="AX544" i="1"/>
  <c r="AX486" i="1"/>
  <c r="AX421" i="1"/>
  <c r="AX368" i="1"/>
  <c r="AQ368" i="1"/>
  <c r="AX412" i="1"/>
  <c r="AX380" i="1"/>
  <c r="AX422" i="1"/>
  <c r="AQ389" i="1"/>
  <c r="AX389" i="1"/>
  <c r="AX270" i="1"/>
  <c r="AQ270" i="1"/>
  <c r="AX255" i="1"/>
  <c r="AX293" i="1"/>
  <c r="AQ317" i="1"/>
  <c r="AX317" i="1"/>
  <c r="AQ284" i="1"/>
  <c r="AX284" i="1"/>
  <c r="AX348" i="1"/>
  <c r="AQ348" i="1"/>
  <c r="AQ340" i="1"/>
  <c r="AQ262" i="1"/>
  <c r="AX262" i="1"/>
  <c r="AX278" i="1"/>
  <c r="AQ278" i="1"/>
  <c r="AQ264" i="1"/>
  <c r="AX264" i="1"/>
  <c r="AQ153" i="1"/>
  <c r="AX153" i="1"/>
  <c r="AX143" i="1"/>
  <c r="AQ177" i="1"/>
  <c r="AQ148" i="1"/>
  <c r="AX148" i="1"/>
  <c r="AX110" i="1"/>
  <c r="AX97" i="1"/>
  <c r="J83" i="1"/>
  <c r="E16" i="2"/>
  <c r="AX87" i="1"/>
  <c r="AQ87" i="1"/>
  <c r="AQ75" i="1"/>
  <c r="AQ57" i="1"/>
  <c r="AQ44" i="1"/>
  <c r="AX44" i="1"/>
  <c r="AX425" i="1"/>
  <c r="AX165" i="1"/>
  <c r="AQ772" i="1"/>
  <c r="AX772" i="1"/>
  <c r="AQ792" i="1"/>
  <c r="AX792" i="1"/>
  <c r="AQ956" i="1"/>
  <c r="J571" i="1"/>
  <c r="E28" i="2" s="1"/>
  <c r="AQ184" i="1"/>
  <c r="AX184" i="1"/>
  <c r="AQ609" i="1"/>
  <c r="AX609" i="1"/>
  <c r="AQ130" i="1"/>
  <c r="AQ546" i="1"/>
  <c r="AX546" i="1"/>
  <c r="AX446" i="1"/>
  <c r="AQ446" i="1"/>
  <c r="AQ105" i="1"/>
  <c r="AX105" i="1"/>
  <c r="AX716" i="1"/>
  <c r="AQ716" i="1"/>
  <c r="AQ294" i="1"/>
  <c r="AQ38" i="1"/>
  <c r="AQ453" i="1"/>
  <c r="AX453" i="1"/>
  <c r="AX934" i="1"/>
  <c r="AX334" i="1"/>
  <c r="AQ962" i="1"/>
  <c r="AQ156" i="1"/>
  <c r="AX156" i="1"/>
  <c r="AQ665" i="1"/>
  <c r="AX665" i="1"/>
  <c r="AQ811" i="1"/>
  <c r="AX811" i="1"/>
  <c r="AQ23" i="1"/>
  <c r="AX23" i="1"/>
  <c r="AQ200" i="1"/>
  <c r="AX200" i="1"/>
  <c r="AQ160" i="1"/>
  <c r="AX160" i="1"/>
  <c r="AX918" i="1"/>
  <c r="AX345" i="1"/>
  <c r="AQ345" i="1"/>
  <c r="AX384" i="1"/>
  <c r="AQ384" i="1"/>
  <c r="AX588" i="1"/>
  <c r="AQ588" i="1"/>
  <c r="AQ616" i="1"/>
  <c r="AX572" i="1"/>
  <c r="AQ572" i="1"/>
  <c r="AX782" i="1"/>
  <c r="AQ267" i="1"/>
  <c r="AX480" i="1"/>
  <c r="AX226" i="1"/>
  <c r="AQ226" i="1"/>
  <c r="AQ655" i="1"/>
  <c r="AX655" i="1"/>
  <c r="AX871" i="1"/>
  <c r="AQ986" i="1"/>
  <c r="AQ441" i="1"/>
  <c r="AX441" i="1"/>
  <c r="AX1045" i="1"/>
  <c r="AQ1045" i="1"/>
  <c r="AQ136" i="1"/>
  <c r="AX136" i="1"/>
  <c r="AX395" i="1"/>
  <c r="AQ395" i="1"/>
  <c r="AX816" i="1"/>
  <c r="AQ816" i="1"/>
  <c r="AQ967" i="1"/>
  <c r="AX121" i="1"/>
  <c r="AQ121" i="1"/>
  <c r="AQ787" i="1"/>
  <c r="AX787" i="1"/>
  <c r="AX744" i="1"/>
  <c r="AQ679" i="1"/>
  <c r="AX679" i="1"/>
  <c r="AX661" i="1"/>
  <c r="AQ661" i="1"/>
  <c r="AX656" i="1"/>
  <c r="AQ656" i="1"/>
  <c r="AX923" i="1"/>
  <c r="AQ923" i="1"/>
  <c r="AX622" i="1"/>
  <c r="AQ622" i="1"/>
  <c r="AQ283" i="1"/>
  <c r="AX273" i="1"/>
  <c r="AQ231" i="1"/>
  <c r="AQ697" i="1"/>
  <c r="AX697" i="1"/>
  <c r="AQ463" i="1"/>
  <c r="AX463" i="1"/>
  <c r="J12" i="1"/>
  <c r="E11" i="2" s="1"/>
  <c r="AX604" i="1"/>
  <c r="AX1002" i="1"/>
  <c r="AX627" i="1"/>
  <c r="AQ627" i="1"/>
  <c r="AQ1015" i="1"/>
  <c r="AX1015" i="1"/>
  <c r="F18" i="2"/>
  <c r="I18" i="2" s="1"/>
  <c r="AQ401" i="1"/>
  <c r="AX401" i="1"/>
  <c r="AQ988" i="1"/>
  <c r="AX988" i="1"/>
  <c r="AQ777" i="1"/>
  <c r="AX777" i="1"/>
  <c r="AQ300" i="1"/>
  <c r="AQ251" i="1"/>
  <c r="AX954" i="1"/>
  <c r="AQ831" i="1"/>
  <c r="AX831" i="1"/>
  <c r="AX551" i="1"/>
  <c r="AQ206" i="1"/>
  <c r="AQ252" i="1"/>
  <c r="AX252" i="1"/>
  <c r="AX84" i="1"/>
  <c r="AX33" i="1"/>
  <c r="AQ33" i="1"/>
  <c r="I555" i="1"/>
  <c r="D26" i="2" s="1"/>
  <c r="AQ141" i="1"/>
  <c r="AX141" i="1"/>
  <c r="AQ564" i="1"/>
  <c r="AX564" i="1"/>
  <c r="AQ848" i="1"/>
  <c r="AQ411" i="1"/>
  <c r="AQ522" i="1"/>
  <c r="AX522" i="1"/>
  <c r="AX365" i="1"/>
  <c r="AQ365" i="1"/>
  <c r="AQ175" i="1"/>
  <c r="AX175" i="1"/>
  <c r="F21" i="2"/>
  <c r="I21" i="2"/>
  <c r="AQ717" i="1"/>
  <c r="AX717" i="1"/>
  <c r="AX907" i="1"/>
  <c r="AQ907" i="1"/>
  <c r="AQ426" i="1"/>
  <c r="I452" i="1"/>
  <c r="D24" i="2" s="1"/>
  <c r="AX889" i="1"/>
  <c r="AX445" i="1"/>
  <c r="AQ347" i="1"/>
  <c r="AX347" i="1"/>
  <c r="AQ1032" i="1"/>
  <c r="AX1032" i="1"/>
  <c r="AX256" i="1"/>
  <c r="AQ256" i="1"/>
  <c r="AQ608" i="1"/>
  <c r="AX608" i="1"/>
  <c r="AX944" i="1"/>
  <c r="AQ846" i="1"/>
  <c r="AX846" i="1"/>
  <c r="AQ618" i="1"/>
  <c r="AX618" i="1"/>
  <c r="AQ794" i="1"/>
  <c r="AX794" i="1"/>
  <c r="AQ681" i="1"/>
  <c r="AX681" i="1"/>
  <c r="AQ439" i="1"/>
  <c r="AX439" i="1"/>
  <c r="AX1039" i="1"/>
  <c r="AX767" i="1"/>
  <c r="AQ767" i="1"/>
  <c r="AQ940" i="1"/>
  <c r="AQ687" i="1"/>
  <c r="AX998" i="1"/>
  <c r="AQ998" i="1"/>
  <c r="AQ242" i="1"/>
  <c r="AX242" i="1"/>
  <c r="AX466" i="1"/>
  <c r="AQ466" i="1"/>
  <c r="AX624" i="1"/>
  <c r="AX502" i="1"/>
  <c r="AX740" i="1"/>
  <c r="AQ740" i="1"/>
  <c r="AX933" i="1"/>
  <c r="AX435" i="1"/>
  <c r="AQ435" i="1"/>
  <c r="AQ906" i="1"/>
  <c r="AX857" i="1"/>
  <c r="J698" i="1"/>
  <c r="E35" i="2"/>
  <c r="AX674" i="1"/>
  <c r="AQ674" i="1"/>
  <c r="AX754" i="1"/>
  <c r="AQ798" i="1"/>
  <c r="AX798" i="1"/>
  <c r="AQ369" i="1"/>
  <c r="AX369" i="1"/>
  <c r="AX440" i="1"/>
  <c r="AQ440" i="1"/>
  <c r="F24" i="2"/>
  <c r="I24" i="2" s="1"/>
  <c r="AX817" i="1"/>
  <c r="AQ817" i="1"/>
  <c r="AX728" i="1"/>
  <c r="AQ728" i="1"/>
  <c r="AQ95" i="1"/>
  <c r="AX832" i="1"/>
  <c r="AQ832" i="1"/>
  <c r="AX1019" i="1"/>
  <c r="AQ328" i="1"/>
  <c r="AX827" i="1"/>
  <c r="AX1029" i="1"/>
  <c r="AQ577" i="1"/>
  <c r="AX577" i="1"/>
  <c r="AQ360" i="1"/>
  <c r="AX360" i="1"/>
  <c r="AX510" i="1"/>
  <c r="AX531" i="1"/>
  <c r="AQ531" i="1"/>
  <c r="AX456" i="1"/>
  <c r="AQ456" i="1"/>
  <c r="AQ826" i="1"/>
  <c r="AX692" i="1"/>
  <c r="AX1014" i="1"/>
  <c r="AQ1014" i="1"/>
  <c r="AQ842" i="1"/>
  <c r="AQ1008" i="1"/>
  <c r="AX1008" i="1"/>
  <c r="AX237" i="1"/>
  <c r="AQ237" i="1"/>
  <c r="AX982" i="1"/>
  <c r="AQ176" i="1"/>
  <c r="AX176" i="1"/>
  <c r="AQ638" i="1"/>
  <c r="AQ351" i="1"/>
  <c r="AQ780" i="1"/>
  <c r="AX780" i="1"/>
  <c r="AX748" i="1"/>
  <c r="AX732" i="1"/>
  <c r="AQ600" i="1"/>
  <c r="AX600" i="1"/>
  <c r="AX290" i="1"/>
  <c r="AX853" i="1"/>
  <c r="AX499" i="1"/>
  <c r="AX939" i="1"/>
  <c r="AQ939" i="1"/>
  <c r="AQ723" i="1"/>
  <c r="AX723" i="1"/>
  <c r="AQ885" i="1"/>
  <c r="AX1040" i="1"/>
  <c r="AQ1040" i="1"/>
  <c r="AQ999" i="1"/>
  <c r="AX999" i="1"/>
  <c r="AQ1009" i="1"/>
  <c r="AQ1046" i="1"/>
  <c r="AX1046" i="1"/>
  <c r="AQ955" i="1"/>
  <c r="AQ730" i="1"/>
  <c r="AX730" i="1"/>
  <c r="AX1028" i="1"/>
  <c r="AX977" i="1"/>
  <c r="AQ977" i="1"/>
  <c r="AX896" i="1"/>
  <c r="AX1007" i="1"/>
  <c r="AQ1007" i="1"/>
  <c r="AX174" i="1"/>
  <c r="AQ734" i="1"/>
  <c r="AX734" i="1"/>
  <c r="AQ736" i="1"/>
  <c r="AQ898" i="1"/>
  <c r="AX898" i="1"/>
  <c r="AQ677" i="1"/>
  <c r="AX677" i="1"/>
  <c r="AQ541" i="1"/>
  <c r="AQ684" i="1"/>
  <c r="AX684" i="1"/>
  <c r="AX790" i="1"/>
  <c r="AQ790" i="1"/>
  <c r="AX852" i="1"/>
  <c r="AQ852" i="1"/>
  <c r="AQ856" i="1"/>
  <c r="AX856" i="1"/>
  <c r="AX21" i="1"/>
  <c r="AQ21" i="1"/>
  <c r="AG1018" i="1"/>
  <c r="AP1004" i="1" s="1"/>
  <c r="K1004" i="1"/>
  <c r="K1047" i="1" s="1"/>
  <c r="AX664" i="1"/>
  <c r="AQ664" i="1"/>
  <c r="J132" i="1"/>
  <c r="E18" i="2"/>
  <c r="J648" i="1"/>
  <c r="E29" i="2" s="1"/>
  <c r="AQ17" i="1"/>
  <c r="AX17" i="1"/>
  <c r="AQ102" i="1"/>
  <c r="AX102" i="1"/>
  <c r="AQ650" i="1"/>
  <c r="AQ310" i="1"/>
  <c r="AX610" i="1"/>
  <c r="AX462" i="1"/>
  <c r="AQ462" i="1"/>
  <c r="AQ150" i="1"/>
  <c r="AX150" i="1"/>
  <c r="AQ507" i="1"/>
  <c r="AX507" i="1"/>
  <c r="AX101" i="1"/>
  <c r="AX302" i="1"/>
  <c r="AQ302" i="1"/>
  <c r="AX1022" i="1"/>
  <c r="AQ1022" i="1"/>
  <c r="AX974" i="1"/>
  <c r="AQ974" i="1"/>
  <c r="AX187" i="1"/>
  <c r="AQ187" i="1"/>
  <c r="AX253" i="1"/>
  <c r="AQ253" i="1"/>
  <c r="AX250" i="1"/>
  <c r="AQ250" i="1"/>
  <c r="AQ549" i="1"/>
  <c r="AX549" i="1"/>
  <c r="AQ686" i="1"/>
  <c r="AQ797" i="1"/>
  <c r="AX797" i="1"/>
  <c r="AQ287" i="1"/>
  <c r="AX287" i="1"/>
  <c r="AQ404" i="1"/>
  <c r="AX404" i="1"/>
  <c r="AQ597" i="1"/>
  <c r="AX597" i="1"/>
  <c r="AQ599" i="1"/>
  <c r="AX599" i="1"/>
  <c r="AQ979" i="1"/>
  <c r="AX979" i="1"/>
  <c r="AX582" i="1"/>
  <c r="AQ671" i="1"/>
  <c r="AX929" i="1"/>
  <c r="AQ929" i="1"/>
  <c r="AX513" i="1"/>
  <c r="AX403" i="1"/>
  <c r="AQ403" i="1"/>
  <c r="I648" i="1"/>
  <c r="D29" i="2" s="1"/>
  <c r="AX431" i="1"/>
  <c r="AQ689" i="1"/>
  <c r="AX636" i="1"/>
  <c r="AQ636" i="1"/>
  <c r="J1000" i="1"/>
  <c r="AS1000" i="1"/>
  <c r="AX1000" i="1"/>
  <c r="BD1000" i="1"/>
  <c r="AB1000" i="1" s="1"/>
  <c r="AX117" i="1"/>
  <c r="AX346" i="1"/>
  <c r="AQ805" i="1"/>
  <c r="AX805" i="1"/>
  <c r="I1018" i="1"/>
  <c r="BC1018" i="1"/>
  <c r="AA1018" i="1"/>
  <c r="AR1018" i="1"/>
  <c r="AQ1018" i="1"/>
  <c r="AX167" i="1"/>
  <c r="AX637" i="1"/>
  <c r="AX937" i="1"/>
  <c r="AQ937" i="1"/>
  <c r="AQ867" i="1"/>
  <c r="AQ418" i="1"/>
  <c r="AX418" i="1"/>
  <c r="AX50" i="1"/>
  <c r="AX1043" i="1"/>
  <c r="AQ973" i="1"/>
  <c r="AX973" i="1"/>
  <c r="AX796" i="1"/>
  <c r="AX969" i="1"/>
  <c r="AX246" i="1"/>
  <c r="AQ392" i="1"/>
  <c r="AX578" i="1"/>
  <c r="AQ338" i="1"/>
  <c r="AQ326" i="1"/>
  <c r="AX326" i="1"/>
  <c r="AQ126" i="1"/>
  <c r="AX126" i="1"/>
  <c r="AX654" i="1"/>
  <c r="AQ159" i="1"/>
  <c r="AX591" i="1"/>
  <c r="AX63" i="1"/>
  <c r="AQ63" i="1"/>
  <c r="AX266" i="1"/>
  <c r="AX391" i="1"/>
  <c r="AQ391" i="1"/>
  <c r="AQ860" i="1"/>
  <c r="AQ61" i="1"/>
  <c r="AR951" i="1"/>
  <c r="AQ951" i="1"/>
  <c r="BC951" i="1"/>
  <c r="AA951" i="1" s="1"/>
  <c r="AX932" i="1"/>
  <c r="AQ383" i="1"/>
  <c r="AX675" i="1"/>
  <c r="J1038" i="1"/>
  <c r="BD1038" i="1"/>
  <c r="AB1038" i="1"/>
  <c r="AS1038" i="1"/>
  <c r="AX1038" i="1" s="1"/>
  <c r="AQ1024" i="1"/>
  <c r="AX847" i="1"/>
  <c r="AQ892" i="1"/>
  <c r="AQ803" i="1"/>
  <c r="AQ819" i="1"/>
  <c r="AX841" i="1"/>
  <c r="AX581" i="1"/>
  <c r="AO669" i="1"/>
  <c r="AX437" i="1"/>
  <c r="AX598" i="1"/>
  <c r="AX301" i="1"/>
  <c r="AQ379" i="1"/>
  <c r="BD506" i="1"/>
  <c r="Z506" i="1"/>
  <c r="AX239" i="1"/>
  <c r="AQ249" i="1"/>
  <c r="AQ215" i="1"/>
  <c r="AX14" i="1"/>
  <c r="AN53" i="1"/>
  <c r="AQ99" i="1"/>
  <c r="AX1018" i="1"/>
  <c r="I719" i="1"/>
  <c r="D36" i="2" s="1"/>
  <c r="AQ525" i="1"/>
  <c r="AX525" i="1"/>
  <c r="AX951" i="1"/>
  <c r="J1004" i="1"/>
  <c r="E58" i="2" s="1"/>
  <c r="AQ863" i="1"/>
  <c r="AX863" i="1"/>
  <c r="AQ1000" i="1"/>
  <c r="AX576" i="1"/>
  <c r="AX883" i="1"/>
  <c r="AX711" i="1"/>
  <c r="AX254" i="1"/>
  <c r="AQ254" i="1"/>
  <c r="AQ295" i="1"/>
  <c r="AQ836" i="1"/>
  <c r="AQ393" i="1"/>
  <c r="AX169" i="1"/>
  <c r="AQ48" i="1"/>
  <c r="AX568" i="1"/>
  <c r="AX694" i="1"/>
  <c r="AX971" i="1"/>
  <c r="AQ47" i="1"/>
  <c r="AX996" i="1"/>
  <c r="AQ505" i="1"/>
  <c r="AX382" i="1"/>
  <c r="AQ449" i="1"/>
  <c r="AX915" i="1"/>
  <c r="AX204" i="1"/>
  <c r="AX952" i="1"/>
  <c r="AQ103" i="1"/>
  <c r="AX985" i="1"/>
  <c r="AX613" i="1"/>
  <c r="AX672" i="1"/>
  <c r="AX837" i="1"/>
  <c r="AX147" i="1"/>
  <c r="AQ526" i="1"/>
  <c r="AX545" i="1"/>
  <c r="AX882" i="1"/>
  <c r="AQ678" i="1"/>
  <c r="AX789" i="1"/>
  <c r="AQ783" i="1"/>
  <c r="AX532" i="1"/>
  <c r="AQ91" i="1"/>
  <c r="AQ114" i="1"/>
  <c r="AX583" i="1"/>
  <c r="AX806" i="1"/>
  <c r="AX337" i="1"/>
  <c r="AQ513" i="1"/>
  <c r="AX518" i="1"/>
  <c r="AX27" i="1"/>
  <c r="AX469" i="1"/>
  <c r="AQ724" i="1"/>
  <c r="C16" i="4" l="1"/>
  <c r="C22" i="4" s="1"/>
  <c r="I22" i="4" s="1"/>
  <c r="C29" i="4" s="1"/>
  <c r="C18" i="4"/>
  <c r="C17" i="4"/>
  <c r="AX729" i="1"/>
  <c r="AX213" i="1"/>
  <c r="AX261" i="1"/>
  <c r="AQ540" i="1"/>
  <c r="AQ958" i="1"/>
  <c r="AQ166" i="1"/>
  <c r="AX166" i="1"/>
  <c r="AQ500" i="1"/>
  <c r="AX500" i="1"/>
  <c r="AX795" i="1"/>
  <c r="AQ795" i="1"/>
  <c r="AQ1038" i="1"/>
  <c r="F58" i="2"/>
  <c r="I58" i="2" s="1"/>
  <c r="F59" i="2" s="1"/>
  <c r="AX1021" i="1"/>
  <c r="AX28" i="1"/>
  <c r="AX593" i="1"/>
  <c r="AQ945" i="1"/>
  <c r="AX840" i="1"/>
  <c r="J537" i="1"/>
  <c r="E25" i="2" s="1"/>
  <c r="AX257" i="1"/>
  <c r="AQ257" i="1"/>
  <c r="AQ623" i="1"/>
  <c r="AX623" i="1"/>
  <c r="J862" i="1"/>
  <c r="E56" i="2" s="1"/>
  <c r="I802" i="1"/>
  <c r="D55" i="2" s="1"/>
  <c r="AQ430" i="1"/>
  <c r="AX605" i="1"/>
  <c r="AX662" i="1"/>
  <c r="AQ662" i="1"/>
  <c r="AQ470" i="1"/>
  <c r="AX470" i="1"/>
  <c r="AQ145" i="1"/>
  <c r="AX992" i="1"/>
  <c r="AX752" i="1"/>
  <c r="AX356" i="1"/>
  <c r="AX511" i="1"/>
  <c r="AX643" i="1"/>
  <c r="AX887" i="1"/>
  <c r="AX829" i="1"/>
  <c r="AQ829" i="1"/>
  <c r="AQ904" i="1"/>
  <c r="AX904" i="1"/>
  <c r="J53" i="1"/>
  <c r="E12" i="2" s="1"/>
  <c r="AX928" i="1"/>
  <c r="AQ900" i="1"/>
  <c r="AX922" i="1"/>
  <c r="AQ922" i="1"/>
  <c r="J912" i="1"/>
  <c r="E57" i="2" s="1"/>
  <c r="AX154" i="1"/>
  <c r="AQ375" i="1"/>
  <c r="AX619" i="1"/>
  <c r="AX879" i="1"/>
  <c r="AX830" i="1"/>
  <c r="AX122" i="1"/>
  <c r="AQ884" i="1"/>
  <c r="AQ515" i="1"/>
  <c r="AX667" i="1"/>
  <c r="AX304" i="1"/>
  <c r="AQ304" i="1"/>
  <c r="AQ666" i="1"/>
  <c r="AX666" i="1"/>
  <c r="I698" i="1"/>
  <c r="D35" i="2" s="1"/>
  <c r="AQ584" i="1"/>
  <c r="AX584" i="1"/>
  <c r="AQ1013" i="1"/>
  <c r="AX371" i="1"/>
  <c r="AX386" i="1"/>
  <c r="AQ488" i="1"/>
  <c r="AX873" i="1"/>
  <c r="AQ822" i="1"/>
  <c r="AQ984" i="1"/>
  <c r="AX367" i="1"/>
  <c r="AX390" i="1"/>
  <c r="AQ496" i="1"/>
  <c r="AX938" i="1"/>
  <c r="AQ601" i="1"/>
  <c r="AQ282" i="1"/>
  <c r="AX465" i="1"/>
  <c r="AQ476" i="1"/>
  <c r="AQ714" i="1"/>
  <c r="AX519" i="1"/>
  <c r="AQ90" i="1"/>
  <c r="AX90" i="1"/>
  <c r="AX825" i="1"/>
  <c r="AX573" i="1"/>
  <c r="AQ573" i="1"/>
  <c r="AX1010" i="1"/>
  <c r="AX318" i="1"/>
  <c r="I1021" i="1"/>
  <c r="I1004" i="1" s="1"/>
  <c r="D58" i="2" s="1"/>
  <c r="AQ314" i="1"/>
  <c r="AX73" i="1"/>
  <c r="AO83" i="1"/>
  <c r="F29" i="4" l="1"/>
  <c r="I28" i="4"/>
  <c r="I29" i="4" s="1"/>
</calcChain>
</file>

<file path=xl/sharedStrings.xml><?xml version="1.0" encoding="utf-8"?>
<sst xmlns="http://schemas.openxmlformats.org/spreadsheetml/2006/main" count="14369" uniqueCount="2737">
  <si>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</si>
  <si>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</si>
  <si>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</si>
  <si>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</si>
  <si>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</si>
  <si>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</si>
  <si>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</si>
  <si>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</si>
  <si>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</si>
  <si>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</si>
  <si>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</si>
  <si>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</si>
  <si>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</si>
  <si>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</si>
  <si>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</si>
  <si>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</si>
  <si>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</si>
  <si>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</si>
  <si>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</si>
  <si>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</si>
  <si>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</si>
  <si>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</si>
  <si>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</si>
  <si>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</si>
  <si>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</si>
  <si>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</si>
  <si>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</si>
  <si>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</si>
  <si>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</si>
  <si>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</si>
  <si>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</si>
  <si>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</si>
  <si>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</si>
  <si>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</si>
  <si>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</si>
  <si>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</si>
  <si>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</si>
  <si>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</si>
  <si>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</si>
  <si>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</si>
  <si>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</si>
  <si>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</si>
  <si>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</si>
  <si>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</si>
  <si>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</si>
  <si>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</si>
  <si>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</si>
  <si>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</si>
  <si>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</si>
  <si>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</si>
  <si>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</si>
  <si>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</si>
  <si>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</si>
  <si>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</si>
  <si>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</si>
  <si>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</si>
  <si>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</si>
  <si>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</si>
  <si>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</si>
  <si>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</si>
  <si>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</si>
  <si>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</si>
  <si>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</si>
  <si>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</si>
  <si>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</si>
  <si>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</si>
  <si>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</si>
  <si>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</si>
  <si>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</si>
  <si>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</si>
  <si>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</si>
  <si>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</si>
  <si>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</si>
  <si>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</si>
  <si>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</si>
  <si>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</si>
  <si>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</si>
  <si>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</si>
  <si>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</si>
  <si>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</si>
  <si>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</si>
  <si>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</si>
  <si>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</si>
  <si>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</si>
  <si>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</si>
  <si>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</si>
  <si>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</si>
  <si>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</si>
  <si>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</si>
  <si>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</si>
  <si>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</si>
  <si>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</si>
  <si>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</si>
  <si>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</si>
  <si>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</si>
  <si>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</si>
  <si>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</si>
  <si>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</si>
  <si>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</si>
  <si>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</si>
  <si>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</si>
  <si>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</si>
  <si>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</si>
  <si>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</si>
  <si>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</si>
  <si>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</si>
  <si>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</si>
  <si>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</si>
  <si>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</si>
  <si>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</si>
  <si>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</si>
  <si>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</si>
  <si>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</si>
  <si>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</si>
  <si>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</si>
  <si>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</si>
  <si>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</si>
  <si>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</si>
  <si>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</si>
  <si>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</si>
  <si>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</si>
  <si>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</si>
  <si>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</si>
  <si>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</si>
  <si>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</si>
  <si>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</si>
  <si>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</si>
  <si>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</si>
  <si>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</si>
  <si>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</si>
  <si>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</si>
  <si>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</si>
  <si>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</si>
  <si>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</si>
  <si>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</si>
  <si>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</si>
  <si>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</si>
  <si>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</si>
  <si>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</si>
  <si>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</si>
  <si>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</si>
  <si>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</si>
  <si>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</si>
  <si>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</si>
  <si>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</si>
  <si>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</si>
  <si>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</si>
  <si>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</si>
  <si>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</si>
  <si>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</si>
  <si>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</si>
  <si>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</si>
  <si>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</si>
  <si>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</si>
  <si>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</si>
  <si>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</si>
  <si>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</si>
  <si>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</si>
  <si>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</si>
  <si>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</si>
  <si>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</si>
  <si>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</si>
  <si>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</si>
  <si>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</si>
  <si>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</si>
  <si>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</si>
  <si>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</si>
  <si>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</si>
  <si>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</si>
  <si>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</si>
  <si>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</si>
  <si>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</si>
  <si>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</si>
  <si>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</si>
  <si>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</si>
  <si>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</si>
  <si>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</si>
  <si>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</si>
  <si>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</si>
  <si>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</si>
  <si>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</si>
  <si>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</si>
  <si>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</si>
  <si>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</si>
  <si>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</si>
  <si>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</si>
  <si>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</si>
  <si>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</si>
  <si>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</si>
  <si>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</si>
  <si>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</si>
  <si>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</si>
  <si>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</si>
  <si>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</si>
  <si>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</si>
  <si>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</si>
  <si>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</si>
  <si>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</si>
  <si>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</si>
  <si>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</si>
  <si>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</si>
  <si>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</si>
  <si>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</si>
  <si>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</si>
  <si>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</si>
  <si>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</si>
  <si>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</si>
  <si>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</si>
  <si>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</si>
  <si>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</si>
  <si>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</si>
  <si>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</si>
  <si>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</si>
  <si>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</si>
  <si>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</si>
  <si>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</si>
  <si>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</si>
  <si>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</si>
  <si>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</si>
  <si>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</si>
  <si>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</si>
  <si>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</si>
  <si>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</si>
  <si>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</si>
  <si>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</si>
  <si>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</si>
  <si>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</si>
  <si>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</si>
  <si>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</si>
  <si>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</si>
  <si>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</si>
  <si>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</si>
  <si>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</si>
  <si>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</si>
  <si>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</si>
  <si>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</si>
  <si>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</si>
  <si>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</si>
  <si>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</si>
  <si>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</si>
  <si>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</si>
  <si>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</si>
  <si>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</si>
  <si>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</si>
  <si>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</si>
  <si>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</si>
  <si>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</si>
  <si>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</si>
  <si>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</si>
  <si>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</si>
  <si>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</si>
  <si>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</si>
  <si>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</si>
  <si>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</si>
  <si>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</si>
  <si>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</si>
  <si>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</si>
  <si>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</si>
  <si>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</si>
  <si>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</si>
  <si>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</si>
  <si>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</si>
  <si>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</si>
  <si>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</si>
  <si>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</si>
  <si>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</si>
  <si>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</si>
  <si>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</si>
  <si>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</si>
  <si>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</si>
  <si>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</si>
  <si>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</si>
  <si>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</si>
  <si>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</si>
  <si>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</si>
  <si>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</si>
  <si>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</si>
  <si>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</si>
  <si>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</si>
  <si>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</si>
  <si>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</si>
  <si>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</si>
  <si>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</si>
  <si>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</si>
  <si>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</si>
  <si>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</si>
  <si>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</si>
  <si>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</si>
  <si>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</si>
  <si>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</si>
  <si>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</si>
  <si>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</si>
  <si>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</si>
  <si>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</si>
  <si>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</si>
  <si>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</si>
  <si>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</si>
  <si>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</si>
  <si>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</si>
  <si>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</si>
  <si>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</si>
  <si>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</si>
  <si>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</si>
  <si>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</si>
  <si>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</si>
  <si>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</si>
  <si>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</si>
  <si>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</si>
  <si>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</si>
  <si>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</si>
  <si>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</si>
  <si>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</si>
  <si>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</si>
  <si>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</si>
  <si>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</si>
  <si>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</si>
  <si>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</si>
  <si>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</si>
  <si>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</si>
  <si>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</si>
  <si>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</si>
  <si>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</si>
  <si>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</si>
  <si>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</si>
  <si>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</si>
  <si>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</si>
  <si>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</si>
  <si>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</si>
  <si>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</si>
  <si>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</si>
  <si>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</si>
  <si>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</si>
  <si>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</si>
  <si>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</si>
  <si>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</si>
  <si>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</si>
  <si>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</si>
  <si>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</si>
  <si>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</si>
  <si>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</si>
  <si>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</si>
  <si>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</si>
  <si>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</si>
  <si>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</si>
  <si>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</si>
  <si>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</si>
  <si>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</si>
  <si>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</si>
  <si>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</si>
  <si>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</si>
  <si>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</si>
  <si>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</si>
  <si>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</si>
  <si>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</si>
  <si>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</si>
  <si>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</si>
  <si>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</si>
  <si>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</si>
  <si>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</si>
  <si>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</si>
  <si>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</si>
  <si>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</si>
  <si>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</si>
  <si>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</si>
  <si>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</si>
  <si>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</si>
  <si>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</si>
  <si>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</si>
  <si>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</si>
  <si>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</si>
  <si>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</si>
  <si>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</si>
  <si>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</si>
  <si>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</si>
  <si>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</si>
  <si>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</si>
  <si>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</si>
  <si>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</si>
  <si>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</si>
  <si>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</si>
  <si>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</si>
  <si>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</si>
  <si>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</si>
  <si>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</si>
  <si>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</si>
  <si>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</si>
  <si>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</si>
  <si>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</si>
  <si>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</si>
  <si>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</si>
  <si>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</si>
  <si>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</si>
  <si>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</si>
  <si>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</si>
  <si>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</si>
  <si>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</si>
  <si>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</si>
  <si>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</si>
  <si>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</si>
  <si>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</si>
  <si>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</si>
  <si>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</si>
  <si>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</si>
  <si>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</si>
  <si>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</si>
  <si>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</si>
  <si>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</si>
  <si>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</si>
  <si>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</si>
  <si>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</si>
  <si>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</si>
  <si>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</si>
  <si>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</si>
  <si>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</si>
  <si>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</si>
  <si>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</si>
  <si>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</si>
  <si>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</si>
  <si>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</si>
  <si>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</si>
  <si>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</si>
  <si>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</si>
  <si>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</si>
  <si>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</si>
  <si>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</si>
  <si>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</si>
  <si>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</si>
  <si>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</si>
  <si>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</si>
  <si>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</si>
  <si>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</si>
  <si>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</si>
  <si>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</si>
  <si>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</si>
  <si>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</si>
  <si>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</si>
  <si>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</si>
  <si>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</si>
  <si>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</si>
  <si>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</si>
  <si>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</si>
  <si>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</si>
  <si>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</si>
  <si>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</si>
  <si>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</si>
  <si>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</si>
  <si>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</si>
  <si>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</si>
  <si>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</si>
  <si>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</si>
  <si>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</si>
  <si>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</si>
  <si>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</si>
  <si>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</si>
  <si>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</si>
  <si>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</si>
  <si>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</si>
  <si>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</si>
  <si>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</si>
  <si>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</si>
  <si>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</si>
  <si>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</si>
  <si>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</si>
  <si>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</si>
  <si>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</si>
  <si>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</si>
  <si>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</si>
  <si>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</si>
  <si>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</si>
  <si>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</si>
  <si>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</si>
  <si>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</si>
  <si>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</si>
  <si>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</si>
  <si>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</si>
  <si>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</si>
  <si>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</si>
  <si>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</si>
  <si>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</si>
  <si>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</si>
  <si>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</si>
  <si>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</si>
  <si>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</si>
  <si>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</si>
  <si>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</si>
  <si>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</si>
  <si>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</si>
  <si>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</si>
  <si>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</si>
  <si>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</si>
  <si>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</si>
  <si>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</si>
  <si>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</si>
  <si>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</si>
  <si>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</si>
  <si>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</si>
  <si>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</si>
  <si>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</si>
  <si>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</si>
  <si>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</si>
  <si>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</si>
  <si>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</si>
  <si>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</si>
  <si>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</si>
  <si>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</si>
  <si>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</si>
  <si>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</si>
  <si>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</si>
  <si>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</si>
  <si>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</si>
  <si>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</si>
  <si>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</si>
  <si>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</si>
  <si>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</si>
  <si>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</si>
  <si>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</si>
  <si>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</si>
  <si>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</si>
  <si>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</si>
  <si>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</si>
  <si>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</si>
  <si>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</si>
  <si>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</si>
  <si>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</si>
  <si>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</si>
  <si>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</si>
  <si>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</si>
  <si>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</si>
  <si>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</si>
  <si>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</si>
  <si>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</si>
  <si>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</si>
  <si>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</si>
  <si>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</si>
  <si>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</si>
  <si>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</si>
  <si>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</si>
  <si>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</si>
  <si>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</si>
  <si>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</si>
  <si>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</si>
  <si>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</si>
  <si>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</si>
  <si>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</si>
  <si>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</si>
  <si>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</si>
  <si>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</si>
  <si>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</si>
  <si>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</si>
  <si>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</si>
  <si>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</si>
  <si>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</si>
  <si>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</si>
  <si>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</si>
  <si>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</si>
  <si>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</si>
  <si>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</si>
  <si>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</si>
  <si>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</si>
  <si>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</si>
  <si>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</si>
  <si>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</si>
  <si>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</si>
  <si>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</si>
  <si>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</si>
  <si>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</si>
  <si>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</si>
  <si>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</si>
  <si>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</si>
  <si>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</si>
  <si>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</si>
  <si>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</si>
  <si>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</si>
  <si>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</si>
  <si>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</si>
  <si>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</si>
  <si>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</si>
  <si>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</si>
  <si>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</si>
  <si>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</si>
  <si>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</si>
  <si>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</si>
  <si>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</si>
  <si>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</si>
  <si>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</si>
  <si>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</si>
  <si>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</si>
  <si>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</si>
  <si>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</si>
  <si>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</si>
  <si>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</si>
  <si>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</si>
  <si>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</si>
  <si>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</si>
  <si>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</si>
  <si>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</si>
  <si>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</si>
  <si>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</si>
  <si>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</si>
  <si>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</si>
  <si>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</si>
  <si>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</si>
  <si>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</si>
  <si>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</si>
  <si>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</si>
  <si>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</si>
  <si>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</si>
  <si>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</si>
  <si>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</si>
  <si>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</si>
  <si>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</si>
  <si>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</si>
  <si>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</si>
  <si>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</si>
  <si>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</si>
  <si>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</si>
  <si>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</si>
  <si>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</si>
  <si>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</si>
  <si>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</si>
  <si>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</si>
  <si>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</si>
  <si>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</si>
  <si>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</si>
  <si>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</si>
  <si>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</si>
  <si>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</si>
  <si>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</si>
  <si>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</si>
  <si>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</si>
  <si>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</si>
  <si>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</si>
  <si>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</si>
  <si>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</si>
  <si>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</si>
  <si>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</si>
  <si>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</si>
  <si>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</si>
  <si>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</si>
  <si>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</si>
  <si>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</si>
  <si>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</si>
  <si>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</si>
  <si>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</si>
  <si>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</si>
  <si>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</si>
  <si>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</si>
  <si>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</si>
  <si>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</si>
  <si>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</si>
  <si>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</si>
  <si>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</si>
  <si>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</si>
  <si>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</si>
  <si>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</si>
  <si>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</si>
  <si>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</si>
  <si>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</si>
  <si>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</si>
  <si>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</si>
  <si>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</si>
  <si>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</si>
  <si>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</si>
  <si>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</si>
  <si>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</si>
  <si>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</si>
  <si>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</si>
  <si>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</si>
  <si>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</si>
  <si>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</si>
  <si>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</si>
  <si>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</si>
  <si>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</si>
  <si>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</si>
  <si>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</si>
  <si>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</si>
  <si>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</si>
  <si>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</si>
  <si>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</si>
  <si>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</si>
  <si>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</si>
  <si>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</si>
  <si>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</si>
  <si>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</si>
  <si>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</si>
  <si>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</si>
  <si>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</si>
  <si>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</si>
  <si>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</si>
  <si>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</si>
  <si>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</si>
  <si>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</si>
  <si>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</si>
  <si>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</si>
  <si>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</si>
  <si>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</si>
  <si>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</si>
  <si>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</si>
  <si>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</si>
  <si>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</si>
  <si>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</si>
  <si>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</si>
  <si>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</si>
  <si>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</si>
  <si>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</si>
  <si>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</si>
  <si>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</si>
  <si>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</si>
  <si>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</si>
  <si>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</si>
  <si>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</si>
  <si>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</si>
  <si>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</si>
  <si>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</si>
  <si>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</si>
  <si>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</si>
  <si>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</si>
  <si>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</si>
  <si>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</si>
  <si>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</si>
  <si>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</si>
  <si>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</si>
  <si>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</si>
  <si>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</si>
  <si>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</si>
  <si>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</si>
  <si>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</si>
  <si>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</si>
  <si>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</si>
  <si>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</si>
  <si>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</si>
  <si>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</si>
  <si>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</si>
  <si>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</si>
  <si>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</si>
  <si>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</si>
  <si>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</si>
  <si>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</si>
  <si>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</si>
  <si>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</si>
  <si>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</si>
  <si>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</si>
  <si>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</si>
  <si>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</si>
  <si>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</si>
  <si>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</si>
  <si>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</si>
  <si>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</si>
  <si>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</si>
  <si>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</si>
  <si>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</si>
  <si>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</si>
  <si>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</si>
  <si>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</si>
  <si>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</si>
  <si>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</si>
  <si>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</si>
  <si>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</si>
  <si>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</si>
  <si>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</si>
  <si>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</si>
  <si>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</si>
  <si>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</si>
  <si>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</si>
  <si>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</si>
  <si>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</si>
  <si>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</si>
  <si>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</si>
  <si>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</si>
  <si>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</si>
  <si>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</si>
  <si>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</si>
  <si>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</si>
  <si>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</si>
  <si>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</si>
  <si>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</si>
  <si>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</si>
  <si>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</si>
  <si>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</si>
  <si>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</si>
  <si>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</si>
  <si>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</si>
  <si>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</si>
  <si>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</si>
  <si>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</si>
  <si>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</si>
  <si>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</si>
  <si>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</si>
  <si>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</si>
  <si>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</si>
  <si>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</si>
  <si>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</si>
  <si>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</si>
  <si>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</si>
  <si>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</si>
  <si>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</si>
  <si>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</si>
  <si>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</si>
  <si>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</si>
  <si>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</si>
  <si>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</si>
  <si>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</si>
  <si>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</si>
  <si>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</si>
  <si>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</si>
  <si>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</si>
  <si>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</si>
  <si>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</si>
  <si>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</si>
  <si>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</si>
  <si>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</si>
  <si>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</si>
  <si>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</si>
  <si>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</si>
  <si>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</si>
  <si>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</si>
  <si>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</si>
  <si>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</si>
  <si>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</si>
  <si>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</si>
  <si>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</si>
  <si>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</si>
  <si>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</si>
  <si>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</si>
  <si>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</si>
  <si>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</si>
  <si>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</si>
  <si>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</si>
  <si>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</si>
  <si>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</si>
  <si>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</si>
  <si>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</si>
  <si>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</si>
  <si>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</si>
  <si>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</si>
  <si>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</si>
  <si>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</si>
  <si>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</si>
  <si>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</si>
  <si>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</si>
  <si>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</si>
  <si>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</si>
  <si>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</si>
  <si>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</si>
  <si>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</si>
  <si>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</si>
  <si>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</si>
  <si>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</si>
  <si>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</si>
  <si>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</si>
  <si>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</si>
  <si>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</si>
  <si>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</si>
  <si>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</si>
  <si>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</si>
  <si>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</si>
  <si>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</si>
  <si>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</si>
  <si>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</si>
  <si>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</si>
  <si>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</si>
  <si>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</si>
  <si>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</si>
  <si>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</si>
  <si>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</si>
  <si>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</si>
  <si>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</si>
  <si>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</si>
  <si>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</si>
  <si>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</si>
  <si>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</si>
  <si>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</si>
  <si>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</si>
  <si>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</si>
  <si>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</si>
  <si>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</si>
  <si>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</si>
  <si>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</si>
  <si>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</si>
  <si>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</si>
  <si>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</si>
  <si>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</si>
  <si>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</si>
  <si>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</si>
  <si>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</si>
  <si>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</si>
  <si>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</si>
  <si>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</si>
  <si>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</si>
  <si>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</si>
  <si>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</si>
  <si>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</si>
  <si>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</si>
  <si>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</si>
  <si>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</si>
  <si>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</si>
  <si>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</si>
  <si>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</si>
  <si>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</si>
  <si>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</si>
  <si>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</si>
  <si>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</si>
  <si>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</si>
  <si>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</si>
  <si>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</si>
  <si>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</si>
  <si>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</si>
  <si>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</si>
  <si>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</si>
  <si>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</si>
  <si>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</si>
  <si>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</si>
  <si>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</si>
  <si>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</si>
  <si>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</si>
  <si>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</si>
  <si>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</si>
  <si>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</si>
  <si>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</si>
  <si>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</si>
  <si>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</si>
  <si>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</si>
  <si>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</si>
  <si>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</si>
  <si>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</si>
  <si>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</si>
  <si>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</si>
  <si>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</si>
  <si>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</si>
  <si>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</si>
  <si>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</si>
  <si>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</si>
  <si>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</si>
  <si>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</si>
  <si>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</si>
  <si>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</si>
  <si>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</si>
  <si>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</si>
  <si>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</si>
  <si>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</si>
  <si>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</si>
  <si>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</si>
  <si>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</si>
  <si>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</si>
  <si>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</si>
  <si>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</si>
  <si>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</si>
  <si>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</si>
  <si>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</si>
  <si>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</si>
  <si>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</si>
  <si>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</si>
  <si>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</si>
  <si>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</si>
  <si>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</si>
  <si>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</si>
  <si>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</si>
  <si>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</si>
  <si>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</si>
  <si>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</si>
  <si>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</si>
  <si>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</si>
  <si>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</si>
  <si>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</si>
  <si>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</si>
  <si>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</si>
  <si>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</si>
  <si>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</si>
  <si>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</si>
  <si>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</si>
  <si>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</si>
  <si>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</si>
  <si>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</si>
  <si>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</si>
  <si>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</si>
  <si>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</si>
  <si>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</si>
  <si>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</si>
  <si>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</si>
  <si>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</si>
  <si>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</si>
  <si>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</si>
  <si>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</si>
  <si>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</si>
  <si>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</si>
  <si>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</si>
  <si>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</si>
  <si>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</si>
  <si>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</si>
  <si>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</si>
  <si>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</si>
  <si>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</si>
  <si>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</si>
  <si>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</si>
  <si>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</si>
  <si>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</si>
  <si>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</si>
  <si>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</si>
  <si>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</si>
  <si>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</si>
  <si>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</si>
  <si>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</si>
  <si>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</si>
  <si>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Poznámka:</t>
  </si>
  <si>
    <t>Objekt</t>
  </si>
  <si>
    <t>SO1</t>
  </si>
  <si>
    <t>Kód</t>
  </si>
  <si>
    <t>22233</t>
  </si>
  <si>
    <t>2223301IM</t>
  </si>
  <si>
    <t>2223302IM</t>
  </si>
  <si>
    <t>2223303IM</t>
  </si>
  <si>
    <t>2223304IM</t>
  </si>
  <si>
    <t>2223305IM</t>
  </si>
  <si>
    <t>2223306IM</t>
  </si>
  <si>
    <t>2223307IM</t>
  </si>
  <si>
    <t>2223308IM</t>
  </si>
  <si>
    <t>2223309IM</t>
  </si>
  <si>
    <t>2223310IM</t>
  </si>
  <si>
    <t>2223311IM</t>
  </si>
  <si>
    <t>2223312IM</t>
  </si>
  <si>
    <t>2223313IM</t>
  </si>
  <si>
    <t>2223314IM</t>
  </si>
  <si>
    <t>2223315IM</t>
  </si>
  <si>
    <t>2223316IM</t>
  </si>
  <si>
    <t>2223317IM</t>
  </si>
  <si>
    <t>2223318IM</t>
  </si>
  <si>
    <t>2223319IM</t>
  </si>
  <si>
    <t>2223320IM</t>
  </si>
  <si>
    <t>2223321IM</t>
  </si>
  <si>
    <t>2223322IM</t>
  </si>
  <si>
    <t>2223323IM</t>
  </si>
  <si>
    <t>2223324IM</t>
  </si>
  <si>
    <t>2223325IM</t>
  </si>
  <si>
    <t>2223326IM</t>
  </si>
  <si>
    <t>2223327IM</t>
  </si>
  <si>
    <t>2223328IM</t>
  </si>
  <si>
    <t>2223329IM</t>
  </si>
  <si>
    <t>2223330IM</t>
  </si>
  <si>
    <t>2223331IM</t>
  </si>
  <si>
    <t>2223332IM</t>
  </si>
  <si>
    <t>2223333IM</t>
  </si>
  <si>
    <t>2223334IM</t>
  </si>
  <si>
    <t>2223335IM</t>
  </si>
  <si>
    <t>2223336IM</t>
  </si>
  <si>
    <t>2223337IM</t>
  </si>
  <si>
    <t>2223338IM</t>
  </si>
  <si>
    <t>2223339IM</t>
  </si>
  <si>
    <t>2223340IM</t>
  </si>
  <si>
    <t>342013121R00</t>
  </si>
  <si>
    <t>342013123R00</t>
  </si>
  <si>
    <t>342013321RT1</t>
  </si>
  <si>
    <t>342016223R00</t>
  </si>
  <si>
    <t>3420131VDT00</t>
  </si>
  <si>
    <t>3420133VDT00</t>
  </si>
  <si>
    <t>3420162VDT00</t>
  </si>
  <si>
    <t>347016213R00</t>
  </si>
  <si>
    <t>347016233R00</t>
  </si>
  <si>
    <t>3470822VDR00</t>
  </si>
  <si>
    <t>347016211R00</t>
  </si>
  <si>
    <t>3429011VD1R00</t>
  </si>
  <si>
    <t>342901VD2R00</t>
  </si>
  <si>
    <t>3420122VD1T00</t>
  </si>
  <si>
    <t>342013122RT2</t>
  </si>
  <si>
    <t>342013323R00</t>
  </si>
  <si>
    <t>767995103R00</t>
  </si>
  <si>
    <t>154257VD</t>
  </si>
  <si>
    <t>416020113R00</t>
  </si>
  <si>
    <t>612471453R00</t>
  </si>
  <si>
    <t>778511113R00</t>
  </si>
  <si>
    <t>612481211RT3</t>
  </si>
  <si>
    <t>6121111VDIM</t>
  </si>
  <si>
    <t>6IM</t>
  </si>
  <si>
    <t>778511112R00</t>
  </si>
  <si>
    <t>71300168IM</t>
  </si>
  <si>
    <t>7141114VDR00</t>
  </si>
  <si>
    <t>7141114VD1R00</t>
  </si>
  <si>
    <t>7141112VDR00</t>
  </si>
  <si>
    <t>4160201VDT00</t>
  </si>
  <si>
    <t>7141111VDR00</t>
  </si>
  <si>
    <t>7141111VDT00</t>
  </si>
  <si>
    <t>7141112VD2R00</t>
  </si>
  <si>
    <t>7141113VDT00</t>
  </si>
  <si>
    <t>7141113VD1T00</t>
  </si>
  <si>
    <t>7141190VDR00</t>
  </si>
  <si>
    <t>714182011R00</t>
  </si>
  <si>
    <t>63140545</t>
  </si>
  <si>
    <t>63140546</t>
  </si>
  <si>
    <t>721IM</t>
  </si>
  <si>
    <t>7221</t>
  </si>
  <si>
    <t>722132115R00</t>
  </si>
  <si>
    <t>722132116R00</t>
  </si>
  <si>
    <t>722132117R00</t>
  </si>
  <si>
    <t>722132121R00</t>
  </si>
  <si>
    <t>7222801VDT00</t>
  </si>
  <si>
    <t>7222491VDT00</t>
  </si>
  <si>
    <t>7222591VDRT2</t>
  </si>
  <si>
    <t>722259VD2RT2</t>
  </si>
  <si>
    <t>722259VD3RT2</t>
  </si>
  <si>
    <t>7250171VDR00</t>
  </si>
  <si>
    <t>286967VD1</t>
  </si>
  <si>
    <t>286967VD23</t>
  </si>
  <si>
    <t>286967VD3</t>
  </si>
  <si>
    <t>286967VD31</t>
  </si>
  <si>
    <t>286967VD5</t>
  </si>
  <si>
    <t>2869676VD4</t>
  </si>
  <si>
    <t>286967VD6</t>
  </si>
  <si>
    <t>2869676VD7</t>
  </si>
  <si>
    <t>7252192VDT00</t>
  </si>
  <si>
    <t>725014173R00</t>
  </si>
  <si>
    <t>7250141VDR00</t>
  </si>
  <si>
    <t>7258258VDR00</t>
  </si>
  <si>
    <t>7258238VDRT2</t>
  </si>
  <si>
    <t>7250161VDR00</t>
  </si>
  <si>
    <t>725019103R00</t>
  </si>
  <si>
    <t>725825111RT1</t>
  </si>
  <si>
    <t>7258601VDR00</t>
  </si>
  <si>
    <t>7258231VDRT2</t>
  </si>
  <si>
    <t>725823111RT2</t>
  </si>
  <si>
    <t>6421536VD</t>
  </si>
  <si>
    <t>551490VD</t>
  </si>
  <si>
    <t>7252911VDR00</t>
  </si>
  <si>
    <t>725292001R00</t>
  </si>
  <si>
    <t>7252920VDR00</t>
  </si>
  <si>
    <t>725292VD2R00</t>
  </si>
  <si>
    <t>725292VD1R00</t>
  </si>
  <si>
    <t>725292061R00</t>
  </si>
  <si>
    <t>725292VD3R00</t>
  </si>
  <si>
    <t>725292VD4R00</t>
  </si>
  <si>
    <t>55149031</t>
  </si>
  <si>
    <t>55149VD2</t>
  </si>
  <si>
    <t>55149VD1</t>
  </si>
  <si>
    <t>5916084VD</t>
  </si>
  <si>
    <t>7252920VD5T00</t>
  </si>
  <si>
    <t>538830VD</t>
  </si>
  <si>
    <t>53883VD2</t>
  </si>
  <si>
    <t>726211321R00</t>
  </si>
  <si>
    <t>728IM</t>
  </si>
  <si>
    <t>731IM</t>
  </si>
  <si>
    <t>7351711VDR00</t>
  </si>
  <si>
    <t>7342091VD05T00</t>
  </si>
  <si>
    <t>7363333VDRT9</t>
  </si>
  <si>
    <t>7221812VDRT6</t>
  </si>
  <si>
    <t>7363433VDRT3</t>
  </si>
  <si>
    <t>7221812VDRT7</t>
  </si>
  <si>
    <t>732199100RM1</t>
  </si>
  <si>
    <t>7321</t>
  </si>
  <si>
    <t>7321IM</t>
  </si>
  <si>
    <t>7661212VDR00</t>
  </si>
  <si>
    <t>7666611VD1R00</t>
  </si>
  <si>
    <t>766661VD2R00</t>
  </si>
  <si>
    <t>766661VD3R00</t>
  </si>
  <si>
    <t>766661VD4R00</t>
  </si>
  <si>
    <t>766661VD5R00</t>
  </si>
  <si>
    <t>766661VD6R00</t>
  </si>
  <si>
    <t>766661VD7R00</t>
  </si>
  <si>
    <t>766661VD8R00</t>
  </si>
  <si>
    <t>766661VD9R00</t>
  </si>
  <si>
    <t>76666VD10R00</t>
  </si>
  <si>
    <t>76666VD11T00</t>
  </si>
  <si>
    <t>76666VD12T00</t>
  </si>
  <si>
    <t>766661112T00</t>
  </si>
  <si>
    <t>76666VD13T00</t>
  </si>
  <si>
    <t>766661VD12T00</t>
  </si>
  <si>
    <t>7667</t>
  </si>
  <si>
    <t>7668251VD1R00</t>
  </si>
  <si>
    <t>7668251VD2R00</t>
  </si>
  <si>
    <t>766825VD5R00</t>
  </si>
  <si>
    <t>766825VD6R00</t>
  </si>
  <si>
    <t>76682VD10R00</t>
  </si>
  <si>
    <t>76682VD11R00</t>
  </si>
  <si>
    <t>76682VD12R00</t>
  </si>
  <si>
    <t>76682VD13R00</t>
  </si>
  <si>
    <t>76682VD14R00</t>
  </si>
  <si>
    <t>76682VD15R00</t>
  </si>
  <si>
    <t>76682VD16R00</t>
  </si>
  <si>
    <t>76682VD17R00</t>
  </si>
  <si>
    <t>76682VD18R00</t>
  </si>
  <si>
    <t>76682VD19R00</t>
  </si>
  <si>
    <t>7668</t>
  </si>
  <si>
    <t>7669</t>
  </si>
  <si>
    <t>76681VD001R00</t>
  </si>
  <si>
    <t>76681VD002R00</t>
  </si>
  <si>
    <t>76681VD003R00</t>
  </si>
  <si>
    <t>76681VD004R00</t>
  </si>
  <si>
    <t>76681VD005R00</t>
  </si>
  <si>
    <t>76681VD006R00</t>
  </si>
  <si>
    <t>76681VD007R00</t>
  </si>
  <si>
    <t>76681VD008R00</t>
  </si>
  <si>
    <t>76681VD009R00</t>
  </si>
  <si>
    <t>76681VD010R00</t>
  </si>
  <si>
    <t>76681VD011R00</t>
  </si>
  <si>
    <t>76681VD012R00</t>
  </si>
  <si>
    <t>76681VD013R00</t>
  </si>
  <si>
    <t>76681VD014R00</t>
  </si>
  <si>
    <t>76681VD015R00</t>
  </si>
  <si>
    <t>76681VD016R00</t>
  </si>
  <si>
    <t>76681VD017R00</t>
  </si>
  <si>
    <t>76681VD018R00</t>
  </si>
  <si>
    <t>76681VD019R00</t>
  </si>
  <si>
    <t>76681VD020R00</t>
  </si>
  <si>
    <t>76681VD021R00</t>
  </si>
  <si>
    <t>76681VD022R00</t>
  </si>
  <si>
    <t>76681VD023R00</t>
  </si>
  <si>
    <t>76681VD024R00</t>
  </si>
  <si>
    <t>76681VD025R00</t>
  </si>
  <si>
    <t>76681VD026R00</t>
  </si>
  <si>
    <t>76681VD027R00</t>
  </si>
  <si>
    <t>76681VD028R00</t>
  </si>
  <si>
    <t>76681VD029R00</t>
  </si>
  <si>
    <t>76681VD030R00</t>
  </si>
  <si>
    <t>76681VD031R00</t>
  </si>
  <si>
    <t>76681VD032R00</t>
  </si>
  <si>
    <t>76681VD033R00</t>
  </si>
  <si>
    <t>76681VD034R00</t>
  </si>
  <si>
    <t>76681VD035R00</t>
  </si>
  <si>
    <t>76681VD036R00</t>
  </si>
  <si>
    <t>76681VD037R00</t>
  </si>
  <si>
    <t>76681VD038R00</t>
  </si>
  <si>
    <t>76681VD039R00</t>
  </si>
  <si>
    <t>76681VD040R00</t>
  </si>
  <si>
    <t>76681VD041R00</t>
  </si>
  <si>
    <t>76681VD042R00</t>
  </si>
  <si>
    <t>76681VD043R00</t>
  </si>
  <si>
    <t>76681VD044R00</t>
  </si>
  <si>
    <t>76681VD045R00</t>
  </si>
  <si>
    <t>76681VD046R00</t>
  </si>
  <si>
    <t>76681VD047R00</t>
  </si>
  <si>
    <t>76681VD048R00</t>
  </si>
  <si>
    <t>76681VD049R00</t>
  </si>
  <si>
    <t>76681VD050R00</t>
  </si>
  <si>
    <t>76681VD051R00</t>
  </si>
  <si>
    <t>76681VD052R00</t>
  </si>
  <si>
    <t>76681VD053R00</t>
  </si>
  <si>
    <t>76681VD054R00</t>
  </si>
  <si>
    <t>76681VD055R00</t>
  </si>
  <si>
    <t>76681VD056R00</t>
  </si>
  <si>
    <t>76681VD057R00</t>
  </si>
  <si>
    <t>76681VD058R00</t>
  </si>
  <si>
    <t>76681VD059R00</t>
  </si>
  <si>
    <t>7668VD060R00</t>
  </si>
  <si>
    <t>76681VD061R00</t>
  </si>
  <si>
    <t>76681VD062R00</t>
  </si>
  <si>
    <t>76681VD063R00</t>
  </si>
  <si>
    <t>76681VD064R00</t>
  </si>
  <si>
    <t>76681VD065R00</t>
  </si>
  <si>
    <t>76681VD066R00</t>
  </si>
  <si>
    <t>76681VD067R00</t>
  </si>
  <si>
    <t>76681VD068R00</t>
  </si>
  <si>
    <t>76681VD069R00</t>
  </si>
  <si>
    <t>76681VD070R00</t>
  </si>
  <si>
    <t>76681VD071R00</t>
  </si>
  <si>
    <t>76681VD072R00</t>
  </si>
  <si>
    <t>7675911VDR00</t>
  </si>
  <si>
    <t>76768VD15R00</t>
  </si>
  <si>
    <t>76764VD16T00</t>
  </si>
  <si>
    <t>76764VD18T00</t>
  </si>
  <si>
    <t>16211VD1</t>
  </si>
  <si>
    <t>16211VD2</t>
  </si>
  <si>
    <t>16211VD3</t>
  </si>
  <si>
    <t>7676411VDR00</t>
  </si>
  <si>
    <t>553476598</t>
  </si>
  <si>
    <t>553476595</t>
  </si>
  <si>
    <t>553476592</t>
  </si>
  <si>
    <t>5534766VD</t>
  </si>
  <si>
    <t>16211VD4</t>
  </si>
  <si>
    <t>54926061</t>
  </si>
  <si>
    <t>549260VD</t>
  </si>
  <si>
    <t>549147VD</t>
  </si>
  <si>
    <t>771575118RT6</t>
  </si>
  <si>
    <t>771577111RU3</t>
  </si>
  <si>
    <t>597610VD0</t>
  </si>
  <si>
    <t>771101121R00</t>
  </si>
  <si>
    <t>771101142R00</t>
  </si>
  <si>
    <t>771101147R00</t>
  </si>
  <si>
    <t>776572100RV1</t>
  </si>
  <si>
    <t>776521100T00</t>
  </si>
  <si>
    <t>776981114RU1</t>
  </si>
  <si>
    <t>28410154</t>
  </si>
  <si>
    <t>77157711VDS8</t>
  </si>
  <si>
    <t>7769811VD2RU1</t>
  </si>
  <si>
    <t>781210151R00</t>
  </si>
  <si>
    <t>597813748</t>
  </si>
  <si>
    <t>597813749</t>
  </si>
  <si>
    <t>781111111R00</t>
  </si>
  <si>
    <t>781111116R00</t>
  </si>
  <si>
    <t>781111115R00</t>
  </si>
  <si>
    <t>781111112RT1</t>
  </si>
  <si>
    <t>781111121R00</t>
  </si>
  <si>
    <t>553418VD</t>
  </si>
  <si>
    <t>7838931VDR00</t>
  </si>
  <si>
    <t>784111101R00</t>
  </si>
  <si>
    <t>784115712R00</t>
  </si>
  <si>
    <t>551490VD1</t>
  </si>
  <si>
    <t>449841VD</t>
  </si>
  <si>
    <t>4498520VD</t>
  </si>
  <si>
    <t>611400VD</t>
  </si>
  <si>
    <t>611400VD4</t>
  </si>
  <si>
    <t>611400VD5</t>
  </si>
  <si>
    <t>611400VD6</t>
  </si>
  <si>
    <t>611400VD1</t>
  </si>
  <si>
    <t>611400VD2</t>
  </si>
  <si>
    <t>611400VD3</t>
  </si>
  <si>
    <t>7866111VDR00</t>
  </si>
  <si>
    <t>538863VD</t>
  </si>
  <si>
    <t>542358VD</t>
  </si>
  <si>
    <t>53886VD1</t>
  </si>
  <si>
    <t>552307VD</t>
  </si>
  <si>
    <t>538867VD</t>
  </si>
  <si>
    <t>538211VD</t>
  </si>
  <si>
    <t>7253109VDR00</t>
  </si>
  <si>
    <t>941955002T00</t>
  </si>
  <si>
    <t>H01</t>
  </si>
  <si>
    <t>998012023R00</t>
  </si>
  <si>
    <t>H714</t>
  </si>
  <si>
    <t>998714103R00</t>
  </si>
  <si>
    <t>H72</t>
  </si>
  <si>
    <t>998728103R00</t>
  </si>
  <si>
    <t>H721</t>
  </si>
  <si>
    <t>998721103R00</t>
  </si>
  <si>
    <t>H722</t>
  </si>
  <si>
    <t>998722103R00</t>
  </si>
  <si>
    <t>H725</t>
  </si>
  <si>
    <t>998725103R00</t>
  </si>
  <si>
    <t>H726</t>
  </si>
  <si>
    <t>998726123R00</t>
  </si>
  <si>
    <t>H731</t>
  </si>
  <si>
    <t>998731102R00</t>
  </si>
  <si>
    <t>H732</t>
  </si>
  <si>
    <t>998732102R00</t>
  </si>
  <si>
    <t>H766</t>
  </si>
  <si>
    <t>998766103R00</t>
  </si>
  <si>
    <t>H767</t>
  </si>
  <si>
    <t>998767103R00</t>
  </si>
  <si>
    <t>H771</t>
  </si>
  <si>
    <t>998771103R00</t>
  </si>
  <si>
    <t>H775</t>
  </si>
  <si>
    <t>998775103R00</t>
  </si>
  <si>
    <t>H781</t>
  </si>
  <si>
    <t>998781103R00</t>
  </si>
  <si>
    <t>H99</t>
  </si>
  <si>
    <t>999281111R00</t>
  </si>
  <si>
    <t>M</t>
  </si>
  <si>
    <t>12IM</t>
  </si>
  <si>
    <t>M211</t>
  </si>
  <si>
    <t>210191IM</t>
  </si>
  <si>
    <t>210192IM</t>
  </si>
  <si>
    <t>210193IM</t>
  </si>
  <si>
    <t>210194IM</t>
  </si>
  <si>
    <t>210195IM</t>
  </si>
  <si>
    <t>210196IM</t>
  </si>
  <si>
    <t>2101137IM</t>
  </si>
  <si>
    <t>2101138IM</t>
  </si>
  <si>
    <t>2101139IM</t>
  </si>
  <si>
    <t>2101140IM</t>
  </si>
  <si>
    <t>2101141IM</t>
  </si>
  <si>
    <t>21011143IM</t>
  </si>
  <si>
    <t>21011144IM</t>
  </si>
  <si>
    <t>21011145IM</t>
  </si>
  <si>
    <t>21011146IM</t>
  </si>
  <si>
    <t>2101149IM</t>
  </si>
  <si>
    <t>2101150IM</t>
  </si>
  <si>
    <t>2108051IM</t>
  </si>
  <si>
    <t>2108052IM</t>
  </si>
  <si>
    <t>2108053IM</t>
  </si>
  <si>
    <t>2108054IM</t>
  </si>
  <si>
    <t>2108055IM</t>
  </si>
  <si>
    <t>2108056IM</t>
  </si>
  <si>
    <t>2108057IM</t>
  </si>
  <si>
    <t>2108058IM</t>
  </si>
  <si>
    <t>21001159IM</t>
  </si>
  <si>
    <t>21001160IM</t>
  </si>
  <si>
    <t>21001161IM</t>
  </si>
  <si>
    <t>21001162IM</t>
  </si>
  <si>
    <t>21001163IM</t>
  </si>
  <si>
    <t>21001164IM</t>
  </si>
  <si>
    <t>21000165IM</t>
  </si>
  <si>
    <t>21000166IM</t>
  </si>
  <si>
    <t>21000177IM</t>
  </si>
  <si>
    <t>21000182IM</t>
  </si>
  <si>
    <t>M212</t>
  </si>
  <si>
    <t>210201IM</t>
  </si>
  <si>
    <t>210202IM</t>
  </si>
  <si>
    <t>210203IM</t>
  </si>
  <si>
    <t>210204IM</t>
  </si>
  <si>
    <t>210205IM</t>
  </si>
  <si>
    <t>210206IM</t>
  </si>
  <si>
    <t>210207IM</t>
  </si>
  <si>
    <t>210208IM</t>
  </si>
  <si>
    <t>210209IM</t>
  </si>
  <si>
    <t>2102010IM</t>
  </si>
  <si>
    <t>2102011IM</t>
  </si>
  <si>
    <t>2102012IM</t>
  </si>
  <si>
    <t>2102013IM</t>
  </si>
  <si>
    <t>2102014IM</t>
  </si>
  <si>
    <t>2102015IM</t>
  </si>
  <si>
    <t>2102016IM</t>
  </si>
  <si>
    <t>2102017IM</t>
  </si>
  <si>
    <t>2102018IM</t>
  </si>
  <si>
    <t>2102019IM</t>
  </si>
  <si>
    <t>2102020IM</t>
  </si>
  <si>
    <t>2102021IM</t>
  </si>
  <si>
    <t>2102022IM</t>
  </si>
  <si>
    <t>2102023IM</t>
  </si>
  <si>
    <t>2102024IM</t>
  </si>
  <si>
    <t>2102025IM</t>
  </si>
  <si>
    <t>2102026IM</t>
  </si>
  <si>
    <t>2102027IM</t>
  </si>
  <si>
    <t>2102028IM</t>
  </si>
  <si>
    <t>2102029IM</t>
  </si>
  <si>
    <t>2102030IM</t>
  </si>
  <si>
    <t>2102031IM</t>
  </si>
  <si>
    <t>2102032IM</t>
  </si>
  <si>
    <t>2102033IM</t>
  </si>
  <si>
    <t>2102034IM</t>
  </si>
  <si>
    <t>2102035IM</t>
  </si>
  <si>
    <t>2102036IM</t>
  </si>
  <si>
    <t>2101142IM</t>
  </si>
  <si>
    <t>21011147IM</t>
  </si>
  <si>
    <t>2101148IM</t>
  </si>
  <si>
    <t>21000167IM</t>
  </si>
  <si>
    <t>21000169IM</t>
  </si>
  <si>
    <t>21000170IM</t>
  </si>
  <si>
    <t>21000171IM</t>
  </si>
  <si>
    <t>21000172IM</t>
  </si>
  <si>
    <t>21000173IM</t>
  </si>
  <si>
    <t>21000174IM</t>
  </si>
  <si>
    <t>21000175IM</t>
  </si>
  <si>
    <t>21000176IM</t>
  </si>
  <si>
    <t>21000178IM</t>
  </si>
  <si>
    <t>21000179IM</t>
  </si>
  <si>
    <t>21000180IM</t>
  </si>
  <si>
    <t>21000181IM</t>
  </si>
  <si>
    <t>210191IM5R00</t>
  </si>
  <si>
    <t>210192IM05R00</t>
  </si>
  <si>
    <t>210193IM6R00</t>
  </si>
  <si>
    <t>210194IM6R00</t>
  </si>
  <si>
    <t>210198IM5R00</t>
  </si>
  <si>
    <t>210196IM5R00</t>
  </si>
  <si>
    <t>210800106RT1</t>
  </si>
  <si>
    <t>M22</t>
  </si>
  <si>
    <t>2221101IM</t>
  </si>
  <si>
    <t>2221102IM</t>
  </si>
  <si>
    <t>2221103IM</t>
  </si>
  <si>
    <t>2221104IM</t>
  </si>
  <si>
    <t>2221105IM</t>
  </si>
  <si>
    <t>2221106IM</t>
  </si>
  <si>
    <t>2221107IM</t>
  </si>
  <si>
    <t>2221108IM</t>
  </si>
  <si>
    <t>2221109IM</t>
  </si>
  <si>
    <t>2221110IM</t>
  </si>
  <si>
    <t>2221111IM</t>
  </si>
  <si>
    <t>2221112IM</t>
  </si>
  <si>
    <t>2221113IM</t>
  </si>
  <si>
    <t>2221114IM</t>
  </si>
  <si>
    <t>2221115IM</t>
  </si>
  <si>
    <t>2221116IM</t>
  </si>
  <si>
    <t>2221117IM</t>
  </si>
  <si>
    <t>2221118IM</t>
  </si>
  <si>
    <t>2221119IM</t>
  </si>
  <si>
    <t>2221120IM</t>
  </si>
  <si>
    <t>2221121IM</t>
  </si>
  <si>
    <t>2221122IM</t>
  </si>
  <si>
    <t>2221123IM</t>
  </si>
  <si>
    <t>2221124IM</t>
  </si>
  <si>
    <t>2221125IM</t>
  </si>
  <si>
    <t>2221126IM</t>
  </si>
  <si>
    <t>2221127IM</t>
  </si>
  <si>
    <t>2221128IM</t>
  </si>
  <si>
    <t>2221129IM</t>
  </si>
  <si>
    <t>2221130IM</t>
  </si>
  <si>
    <t>2221131IM</t>
  </si>
  <si>
    <t>2221132IM</t>
  </si>
  <si>
    <t>2221133IM</t>
  </si>
  <si>
    <t>2221134IM</t>
  </si>
  <si>
    <t>2221135IM</t>
  </si>
  <si>
    <t>2221136IM</t>
  </si>
  <si>
    <t>2221137IM</t>
  </si>
  <si>
    <t>2221138IM</t>
  </si>
  <si>
    <t>2221139IM</t>
  </si>
  <si>
    <t>2221140IM</t>
  </si>
  <si>
    <t>2221141IM</t>
  </si>
  <si>
    <t>2221142IM</t>
  </si>
  <si>
    <t>2221143IM</t>
  </si>
  <si>
    <t>2221144IM</t>
  </si>
  <si>
    <t>2221145IM</t>
  </si>
  <si>
    <t>2221146IM</t>
  </si>
  <si>
    <t>2221147IM</t>
  </si>
  <si>
    <t>2221148IM</t>
  </si>
  <si>
    <t>2221149IM</t>
  </si>
  <si>
    <t>M22071</t>
  </si>
  <si>
    <t>22071008IM</t>
  </si>
  <si>
    <t>22071007IM</t>
  </si>
  <si>
    <t>22071006IM</t>
  </si>
  <si>
    <t>22071005IM</t>
  </si>
  <si>
    <t>22071004IM</t>
  </si>
  <si>
    <t>22071003IM</t>
  </si>
  <si>
    <t>22071002IM</t>
  </si>
  <si>
    <t>22071001IM</t>
  </si>
  <si>
    <t>2207101IM</t>
  </si>
  <si>
    <t>220710200IM</t>
  </si>
  <si>
    <t>220710300IM</t>
  </si>
  <si>
    <t>220710400IM</t>
  </si>
  <si>
    <t>220710500IM</t>
  </si>
  <si>
    <t>220710600IM</t>
  </si>
  <si>
    <t>220710700IM</t>
  </si>
  <si>
    <t>220710800IM</t>
  </si>
  <si>
    <t>220710900IM</t>
  </si>
  <si>
    <t>220711000IM</t>
  </si>
  <si>
    <t>220711100IM</t>
  </si>
  <si>
    <t>220711200IM</t>
  </si>
  <si>
    <t>220711300IM</t>
  </si>
  <si>
    <t>220711400IM</t>
  </si>
  <si>
    <t>220711500IM</t>
  </si>
  <si>
    <t>220711600IM</t>
  </si>
  <si>
    <t>2207117IM</t>
  </si>
  <si>
    <t>220711800IM</t>
  </si>
  <si>
    <t>220711900IM</t>
  </si>
  <si>
    <t>220712000IM</t>
  </si>
  <si>
    <t>220712100IM</t>
  </si>
  <si>
    <t>220712200IM</t>
  </si>
  <si>
    <t>220712300IM</t>
  </si>
  <si>
    <t>220712400IM</t>
  </si>
  <si>
    <t>220712500IM</t>
  </si>
  <si>
    <t>220712600IM</t>
  </si>
  <si>
    <t>220712700IM</t>
  </si>
  <si>
    <t>220712800IM</t>
  </si>
  <si>
    <t>220712900IM</t>
  </si>
  <si>
    <t>220713000IM</t>
  </si>
  <si>
    <t>220713100IM</t>
  </si>
  <si>
    <t>220713200IM</t>
  </si>
  <si>
    <t>220713300IM</t>
  </si>
  <si>
    <t>220713400IM</t>
  </si>
  <si>
    <t>220713500IM</t>
  </si>
  <si>
    <t>220713600IM</t>
  </si>
  <si>
    <t>220713700IM</t>
  </si>
  <si>
    <t>220713800IM</t>
  </si>
  <si>
    <t>220713900IM</t>
  </si>
  <si>
    <t>220714000IM</t>
  </si>
  <si>
    <t>220714100IM</t>
  </si>
  <si>
    <t>2207142IM</t>
  </si>
  <si>
    <t>220714300IM</t>
  </si>
  <si>
    <t>220714400IM</t>
  </si>
  <si>
    <t>220714500IM</t>
  </si>
  <si>
    <t>220714600IM</t>
  </si>
  <si>
    <t>220714700IM</t>
  </si>
  <si>
    <t>220714800IM</t>
  </si>
  <si>
    <t>220714900IM</t>
  </si>
  <si>
    <t>2207150IM</t>
  </si>
  <si>
    <t>220715100IM</t>
  </si>
  <si>
    <t>220715200IM</t>
  </si>
  <si>
    <t>220715300IM</t>
  </si>
  <si>
    <t>220715400IM</t>
  </si>
  <si>
    <t>220715500IM</t>
  </si>
  <si>
    <t>220715600IM</t>
  </si>
  <si>
    <t>220715700IM</t>
  </si>
  <si>
    <t>220715800IM</t>
  </si>
  <si>
    <t>220715900IM</t>
  </si>
  <si>
    <t>220716000IM</t>
  </si>
  <si>
    <t>220716100IM</t>
  </si>
  <si>
    <t>220716200IM</t>
  </si>
  <si>
    <t>220716300IM</t>
  </si>
  <si>
    <t>220716400IM</t>
  </si>
  <si>
    <t>220716500IM</t>
  </si>
  <si>
    <t>220716600IM</t>
  </si>
  <si>
    <t>220716700IM</t>
  </si>
  <si>
    <t>220716800IM</t>
  </si>
  <si>
    <t>220716900IM</t>
  </si>
  <si>
    <t>220717000IM</t>
  </si>
  <si>
    <t>220717100IM</t>
  </si>
  <si>
    <t>220717200IM</t>
  </si>
  <si>
    <t>220717300IM</t>
  </si>
  <si>
    <t>2207174IM</t>
  </si>
  <si>
    <t>220717500IM</t>
  </si>
  <si>
    <t>220717600IM</t>
  </si>
  <si>
    <t>220717700IM</t>
  </si>
  <si>
    <t>220717800IM</t>
  </si>
  <si>
    <t>220717900IM</t>
  </si>
  <si>
    <t>220718000IM</t>
  </si>
  <si>
    <t>220718100IM</t>
  </si>
  <si>
    <t>220718200IM</t>
  </si>
  <si>
    <t>220718300IM</t>
  </si>
  <si>
    <t>M22089</t>
  </si>
  <si>
    <t>220891IM</t>
  </si>
  <si>
    <t>220892IM</t>
  </si>
  <si>
    <t>220893IM</t>
  </si>
  <si>
    <t>220894IM</t>
  </si>
  <si>
    <t>220895IM</t>
  </si>
  <si>
    <t>220896IM</t>
  </si>
  <si>
    <t>220897IM</t>
  </si>
  <si>
    <t>220898IM</t>
  </si>
  <si>
    <t>220899IM</t>
  </si>
  <si>
    <t>2208910IM</t>
  </si>
  <si>
    <t>2208911IM</t>
  </si>
  <si>
    <t>2208912IM</t>
  </si>
  <si>
    <t>2202813IM</t>
  </si>
  <si>
    <t>2202814IM</t>
  </si>
  <si>
    <t>2202815IM</t>
  </si>
  <si>
    <t>2202816IM</t>
  </si>
  <si>
    <t>2202817IM</t>
  </si>
  <si>
    <t>2202818IM</t>
  </si>
  <si>
    <t>2202819IM</t>
  </si>
  <si>
    <t>2202820IM</t>
  </si>
  <si>
    <t>2202821IM</t>
  </si>
  <si>
    <t>2202822IM</t>
  </si>
  <si>
    <t>2202823IM</t>
  </si>
  <si>
    <t>2202824IM</t>
  </si>
  <si>
    <t>2202625IM</t>
  </si>
  <si>
    <t>2202826IM</t>
  </si>
  <si>
    <t>2202827IM</t>
  </si>
  <si>
    <t>2202828IM</t>
  </si>
  <si>
    <t>2202829IM</t>
  </si>
  <si>
    <t>2202830IM</t>
  </si>
  <si>
    <t>2202831IM</t>
  </si>
  <si>
    <t>2202832IM</t>
  </si>
  <si>
    <t>2202833IM</t>
  </si>
  <si>
    <t>2202834IM</t>
  </si>
  <si>
    <t>2202835IM</t>
  </si>
  <si>
    <t>2202836IM</t>
  </si>
  <si>
    <t>2202837IM</t>
  </si>
  <si>
    <t>2202838IM</t>
  </si>
  <si>
    <t>2202839IM</t>
  </si>
  <si>
    <t>2202840IM</t>
  </si>
  <si>
    <t>2202841IM</t>
  </si>
  <si>
    <t>2202842IM</t>
  </si>
  <si>
    <t>Návrh interiérového řešení paláce Dunaj, kanceláře ČAK</t>
  </si>
  <si>
    <t>Kanceláře ČAK</t>
  </si>
  <si>
    <t>Národní 10, Praha 1, 1. až 3.NP</t>
  </si>
  <si>
    <t>Zkrácený popis</t>
  </si>
  <si>
    <t>Rozměry</t>
  </si>
  <si>
    <t>Elektrická Požární signalizace</t>
  </si>
  <si>
    <t>posun - multisenzorový hlásič, integrovaný zkratový izolátor, autodetekce znečistění, IP44</t>
  </si>
  <si>
    <t>posun - hlásičová patice základní provedení</t>
  </si>
  <si>
    <t>nový - multisenzorový hlásič, integrovaný zkratový izolátor, autodetekce znečistění, IP44</t>
  </si>
  <si>
    <t>nová - hlásičová patice základní provedení</t>
  </si>
  <si>
    <t>zrušen - multisenzorový hlásič, integrovaný zkratový izolátor, autodetekce znečistění, IP44</t>
  </si>
  <si>
    <t>zrušená - hlásičová patice základní provedení</t>
  </si>
  <si>
    <t>nový - tlačítkový hlásič typu A, červený, IP24 (vnitřní), integrovaný zkratový izolátor, se základnou pro povrchovou montáž</t>
  </si>
  <si>
    <t>výstupní reléový modul, 4 reléové bistabilní výstupy 230V/2A/60W s programovatelnou funkcí fail-safe, integrovaný zkratový izolátor</t>
  </si>
  <si>
    <t>posun - siréna červená interierová, IP 21</t>
  </si>
  <si>
    <t>nová - siréna červená interierová, IP 21</t>
  </si>
  <si>
    <t>Kabel Prakab PRAFlaCom F stíněný 1x2x0,8 mm, B2ca,s1,d0 pro kruhové hlásičové linky</t>
  </si>
  <si>
    <t>Kabel funkční při požáru stíněný Prakab PRAFlaGuard 2x2x0,8 mm, P60-R, B2ca,s1,d0, PRAFlaGuard</t>
  </si>
  <si>
    <t>Kabel funkční při požáru PRAFlaDur 2x1,5 mm2, P60-R, B2ca,s1,d0, PRAFlaDur</t>
  </si>
  <si>
    <t>Krabice elektroinstalační KU68,KO97, KO125E</t>
  </si>
  <si>
    <t>Pevná bezhalogenová lektroinstalační trubka Kopos pr. 20/25/32 mm pro střední mechanické zatížení, včetně příslušenství</t>
  </si>
  <si>
    <t>Ohebná elektroinstalační trubka kopos pr. 20/25/32 mm pro střední mechanické zatížení, včetně příslušenství</t>
  </si>
  <si>
    <t>Kabelové příchytky s požární odolností 90 minut včetně uchycení, zkouška kabelové trasy dle ZP-27/2008, komplet</t>
  </si>
  <si>
    <t>Kabelové příchytky včetně uchycení, komplet</t>
  </si>
  <si>
    <t>Kniha EPS</t>
  </si>
  <si>
    <t>Komplexní zkoušky vyhrazeného požárně bezpečnostního zařízení</t>
  </si>
  <si>
    <t>Předání podkladů pro nadstavbový software, dokumentace, programovací tabulky, seznam všech výstupů a vstupů jednotlivých systémů s jejich popisem,  se</t>
  </si>
  <si>
    <t>Oživení systému</t>
  </si>
  <si>
    <t>Programování systému</t>
  </si>
  <si>
    <t>Prováděcí dokumentace dle Vyhlášky č. 499/2006 Sb. - nechat odsouhlasit investorem před realizací dodávkou GP, arch</t>
  </si>
  <si>
    <t>Dodavatelská dokumentace (manuály, certifikáty, výrobní dokumentace...)</t>
  </si>
  <si>
    <t>Dokumentace skutečného provedení stavby v rozsahu prováděcí dokumentace - 4x vytištěno + elektronická verze</t>
  </si>
  <si>
    <t>Certifikační měření včetně protokolů</t>
  </si>
  <si>
    <t>Propojení, montáž, oživení, revize, měření, protokoly, školení obsluhy, přípomocné práce, vrtání, řezání</t>
  </si>
  <si>
    <t>Drobný elektroinstalační a spojovací materiál, pomocné upevňovací konstrukce, pásky, příchytky, konektory, svorkovnice</t>
  </si>
  <si>
    <t>Montážní pěna</t>
  </si>
  <si>
    <t>Protipožární ucpávky</t>
  </si>
  <si>
    <t>Značení tras, vč. kabelových štítků</t>
  </si>
  <si>
    <t>Individuální zkoušky</t>
  </si>
  <si>
    <t>Koordinační funkční zkoušky</t>
  </si>
  <si>
    <t>Komplexní zkoušky</t>
  </si>
  <si>
    <t>Uvedení do provozu</t>
  </si>
  <si>
    <t>Zaškolení obsluhy a údržby</t>
  </si>
  <si>
    <t>Návody a manuály</t>
  </si>
  <si>
    <t>PPV /přidružené pracovní výkony/</t>
  </si>
  <si>
    <t>Mimostaveništní doprava</t>
  </si>
  <si>
    <t>Stěny a příčky</t>
  </si>
  <si>
    <t>Příčka SDK tl.100 mm,ocel.kce,2x oplášť.,RB 12,5mm</t>
  </si>
  <si>
    <t>Příčka SDK tl.100mm,ocel.kce,2x oplášť.,RBI 12,5mm</t>
  </si>
  <si>
    <t>Příčka SDK tl.150 mm,ocel.kce,2x oplášť.,RB 12,5mm</t>
  </si>
  <si>
    <t>Příčka SDK tl.205mm,2x ocel.kce,2xoplášť.,RBI 12,5</t>
  </si>
  <si>
    <t>KOnstrukce SDK pod příčky 100 mm s skel.izolací ze skel.vaty tl.120 mm</t>
  </si>
  <si>
    <t>Konstrukce SDK pod příčku 150 mm s izolací ze skel.vaty tl 120 mm</t>
  </si>
  <si>
    <t>Konstrukce SDK pod příčku 205 mm s izolacé ze skel.vaty 120mm</t>
  </si>
  <si>
    <t>Předstěna SDK, tl. 75 mm, ocel. kce CW, 2x RBI 12,5 mm, bez izolace</t>
  </si>
  <si>
    <t>Předstěna SDK, tl. 125 mm, ocel. kce CW, 2x RBI 12,5 mm, bez izolace</t>
  </si>
  <si>
    <t>Předstěna tl.175 mm,O.K.CW+CD,2xopl.,RBI 12,5</t>
  </si>
  <si>
    <t>Předstěna SDK, tl. 75 mm, ocel. kce CW, 2x RB 12,5 mm, bez izolace</t>
  </si>
  <si>
    <t>Příčky skleněné jednoduché s dveřmi vč. dveří, bez kování a zámků - dodávka a montáž</t>
  </si>
  <si>
    <t>Příčky skleněné dvojitě prosklené vč. dveří, oblouků, bez kování a zámků - dodávka a montáž</t>
  </si>
  <si>
    <t>Konstrukce z ocel.prof.SDK nad příčkou skleněnou</t>
  </si>
  <si>
    <t>Příčka SDK tl.100 mm,ocel.kce,2x oplášť.,RF 12,5mm, s PO EI 45DPI</t>
  </si>
  <si>
    <t>Příčka SDKtl.150 mm,ocel.kce,2x oplášť.,RBI 12,5mm</t>
  </si>
  <si>
    <t>Výroba a montáž kov. atypických konstr. do 20 kg, vyztužení příček pro uchycení umyvadel</t>
  </si>
  <si>
    <t>Profil Jakl 70/70/4 mm na vyztužení příček pro uchycení umyvadel</t>
  </si>
  <si>
    <t>Stropy a stropní konstrukce (pro pozemní stavby)</t>
  </si>
  <si>
    <t>Podhledy SDK, kovová kce.HUT 1x deska RBI 12,5 mm</t>
  </si>
  <si>
    <t>Úprava povrchů vnitřní</t>
  </si>
  <si>
    <t>Úprava stěn betonových stěrkováním s vyhlazením, úprava beton. sloupů a stropů, oprava kavern</t>
  </si>
  <si>
    <t>Stěnová stěrka W04, aula stěny, dekorativní stěrka s betonovým vzhledem</t>
  </si>
  <si>
    <t>Montáž výztužné sítě(perlinky)do stěrky-vnit.stěny pod stěnovou stěrku</t>
  </si>
  <si>
    <t>Zednické práce sekání, průrazy (zednické práce zazdění drážek a otvorů včetně materiálu a  malování není dodávkou elktro je dodávkou GD)</t>
  </si>
  <si>
    <t>Jádrové vrty od průměru 28 mm je dodávkou stavby</t>
  </si>
  <si>
    <t>Stěnová stěrka int., syst.epoxydová probarvená modrá, stěrka W03</t>
  </si>
  <si>
    <t>Izolace tepelné</t>
  </si>
  <si>
    <t>Akustické ucpávky žlabů ve stěnách dodávka stavby</t>
  </si>
  <si>
    <t>Izolace akustické a protiotřesová opatření</t>
  </si>
  <si>
    <t>Akustický vypínaný textilní podhled - D+M, širokopásmový</t>
  </si>
  <si>
    <t>Akustický vypínaný textilní podhled - D+M, nízkofrekvenční</t>
  </si>
  <si>
    <t>D+M nízkofrekvenční rezonátory</t>
  </si>
  <si>
    <t>D+M nízkofrekvenční SDK podhled</t>
  </si>
  <si>
    <t>D+M akustický obklad laťovaný</t>
  </si>
  <si>
    <t>D+M  akustický obklad laťovaný (zaslepený)</t>
  </si>
  <si>
    <t>D+M akustic. obklad perforovaný</t>
  </si>
  <si>
    <t>D+M akustický obklad perforovaný (zaslepený)</t>
  </si>
  <si>
    <t>D+M akustická závěsná tělesa průměr 800 mm</t>
  </si>
  <si>
    <t>D+M akustická závěsná tělesa průměr 1200 mm</t>
  </si>
  <si>
    <t>Ostatní práce na akustice - dílenská PD a měření</t>
  </si>
  <si>
    <t>Montáž akust. vložek z miner. pásů volné uložení, pod skleněné příčky</t>
  </si>
  <si>
    <t>Deska izolační minerální pod skleněné příčky tl. 100 mm</t>
  </si>
  <si>
    <t>Deska izolační minerální pod skleněné příčky akustická tl. 120 mm</t>
  </si>
  <si>
    <t>Zdravotní technika kanalizace, voda bez ZP</t>
  </si>
  <si>
    <t>elektrický tlakový zásobníkový  ohřívač pod dřez; 30 litrů včetně bezpečnostní sestavy se sifonem</t>
  </si>
  <si>
    <t>Malý elektrický tlakový zásobníkový  ohřívač pod dřez; 10 litrů včetně bezpečnostní sestavy se sifonem</t>
  </si>
  <si>
    <t>Kulový ventil 3/4"</t>
  </si>
  <si>
    <t>Kulový ventil 1"</t>
  </si>
  <si>
    <t>Rohový ventil DN15</t>
  </si>
  <si>
    <t>Potrubí EVO PP-RCT S 4, průměr 20x2,3 pro rozvod studené vody vč. závěsů, konzol, objímek a ostatních uchycovacích prvků pro uložení potrubí</t>
  </si>
  <si>
    <t>Potrubí EVO PP-RCT S 4, průměr 25x2,8 pro rozvod studené vody vč. závěsů, konzol, objímek a ostatních uchycovacích prvků pro uložení potrubí</t>
  </si>
  <si>
    <t>Potrubí EVO PP-RCT S 4, průměr 32x3,6 pro rozvod studené vody vč. závěsů, konzol, objímek a ostatních uchycovacích prvků pro uložení potrubí</t>
  </si>
  <si>
    <t>Potrubí EVO PP-RCT S 4, průměr 20x2,3 pro rozvod teplé vody a cirkulace vč. závěsů, konzol, objímek a ostatních uchycovacích prvků pro uložení potrubí</t>
  </si>
  <si>
    <t>Potrubí EVO PP-RCT S 4, průměr 25x2,8 pro rozvod teplé vody a cirkulace vč. závěsů, konzol, objímek a ostatních uchycovacích prvků pro uložení potrubí</t>
  </si>
  <si>
    <t>Korýtka pro potrubí EVO, PP-RCT S4</t>
  </si>
  <si>
    <t>Potrubní návleky na bázi pěnového polyetylenu pro vodovodní potrubí studené vody tloušťky 9mm pro D20/2,3</t>
  </si>
  <si>
    <t>Potrubní návleky na bázi pěnového polyetylenu pro vodovodní potrubí studené vody tloušťky 9mm pro D25/2,8</t>
  </si>
  <si>
    <t>Potrubní návleky na bázi pěnového polyetylenu pro vodovodní potrubí studené vody tloušťky 9mm pro D32/2,8</t>
  </si>
  <si>
    <t>Potrubní návleky na bázi pěnového polyetylenu pro vodovodní potrubí teplé a cirkulační vody tloušťky 25 mm pro D20/2,3</t>
  </si>
  <si>
    <t>Rozvody kanalizace z potrubí  HT DN50 včetně konzol, závěsů a ostatních  uchycovacích prvků pro vedení potrubí</t>
  </si>
  <si>
    <t>Rozvody kanalizace z potrubí  HT DN75 včetně konzol, závěsů a ostatních  uchycovacích prvků pro vedení potrubí</t>
  </si>
  <si>
    <t>Rozvody kanalizace z potrubí  HT DN110 včetně konzol, závěsů a ostatních  uchycovacích prvků pro vedení potrubí</t>
  </si>
  <si>
    <t>Napojení na stávající rozvody ležate splaškové kanalizace</t>
  </si>
  <si>
    <t>Rozvody pro odvod kondenzátu z potrubí  HT 32 včetně tvarovek konzol,  závěsů, montážního a spojovacího materiálu</t>
  </si>
  <si>
    <t>Rozvody pro odvod kondenzátu z potrubí  HT 40 včetně tvarovek konzol,  závěsů, montážního a spojovacího materiálu</t>
  </si>
  <si>
    <t>Vodní zápachová uzávěrka pro odvod kondenzátu</t>
  </si>
  <si>
    <t>Dokumentace skutečného provedení</t>
  </si>
  <si>
    <t>Tlaková zkouška.</t>
  </si>
  <si>
    <t>Provozní zkouška.</t>
  </si>
  <si>
    <t>Vyregulování systému.</t>
  </si>
  <si>
    <t>Zaškolení obsluhy.</t>
  </si>
  <si>
    <t>Doprava - standardní.</t>
  </si>
  <si>
    <t>Závěsný a montážní materiál.</t>
  </si>
  <si>
    <t>Požární ucpávky.</t>
  </si>
  <si>
    <t>Lešení a pomocné konstrukce.</t>
  </si>
  <si>
    <t>Proplach soustavy vodou, dvojnásobné.</t>
  </si>
  <si>
    <t>Stabilní hasící zařízení</t>
  </si>
  <si>
    <t>Potrubí ocel vně/vni pozink.Geberit Mapress 28x1,5, SHZ</t>
  </si>
  <si>
    <t>Potrubí ocel vně/vni pozink.Geberit Mapress 35x1,5, SHZ</t>
  </si>
  <si>
    <t>Potrubí ocel vně/vni pozink.Geberit Mapress 42x1,5, SHZ</t>
  </si>
  <si>
    <t>Potrubí ocel vně/vni pozink.Geberit Mapress 108x2, SHZ</t>
  </si>
  <si>
    <t>Tlaková zkouška požárního vodovodu, vč. revize a dok.skuteč.provedení, SHZ</t>
  </si>
  <si>
    <t>D+M armatury požární - odvodňovací, SHZ</t>
  </si>
  <si>
    <t>Sprinkler stojící K=80, 15 mm vč. montáže a montáž techniky, SHZ</t>
  </si>
  <si>
    <t>Sprinkler visící K=80, 15 mm, vč. montáže a mont.techniky, SHZ</t>
  </si>
  <si>
    <t>Sprinkler visící do podhl., K=80,15 mm, vč.montáže a mont.techniky, SHZ</t>
  </si>
  <si>
    <t>Zařizovací předměty</t>
  </si>
  <si>
    <t>Umyvadlo atyp betonové 2800x485x150,  v nice 4 otv.- jen dodávka</t>
  </si>
  <si>
    <t>Atypické umyvadlo betonové 2100x485x150 v rohu, 4 otv.</t>
  </si>
  <si>
    <t>Umyvadlo betonové atyp 1900x485x150, v nice 4 otv.</t>
  </si>
  <si>
    <t>Umyvadlo betonové atyp 1800x485x150, v nice 4 otv</t>
  </si>
  <si>
    <t>Umyvadlo betonové atyp 1700x485x150, v nice 4 otv.</t>
  </si>
  <si>
    <t>Umyvadlo betonové atyp 1200x485x150, v rohu, 2 otv.</t>
  </si>
  <si>
    <t>Umyvadlo betonové atyp 1100x485x150, v nice, 2 otv.</t>
  </si>
  <si>
    <t>Umyvadlo betonové atyp 1000x485x150, v nice 2 otv.</t>
  </si>
  <si>
    <t>Umyvadlový atyp panel 1112x485x150</t>
  </si>
  <si>
    <t>Montáž umyvadel atypických betonových</t>
  </si>
  <si>
    <t>Klozet závěsný  + sedátko s pomalým sklápěním bílý</t>
  </si>
  <si>
    <t>Klozet závěsný  ZTP + sedátko, bílý</t>
  </si>
  <si>
    <t>Baterie dřezová s vytahovací sprškou stojánková</t>
  </si>
  <si>
    <t>Baterie umyvadlová stojánková páková ZTP, ramínko 140 mm</t>
  </si>
  <si>
    <t>Pisoár s radarovým senzorem, 320x350x645, bílý</t>
  </si>
  <si>
    <t>Výlevka závěsná  s plastovou mřížkou, 500x435x407, bílá</t>
  </si>
  <si>
    <t>Baterie páková k výlevce s ramínkem 210 mm nástěnná ruční</t>
  </si>
  <si>
    <t>Uzávěrka zápachová umyvadlová designová, kov, barva černá</t>
  </si>
  <si>
    <t>Baterie umyvadlová stoján. senzorická, kov, černá, designová</t>
  </si>
  <si>
    <t>Baterie umyvadlová stoján. ruční, páková, kov, černá</t>
  </si>
  <si>
    <t>Umyvadlo pro osoby s omezenou schopností pohybu 800x550x150 mm</t>
  </si>
  <si>
    <t>Dávkovač tek. mýdla vestavný, kov, barva černá</t>
  </si>
  <si>
    <t>Madlo rovné nerez mat nástěné  dl. 500 mm</t>
  </si>
  <si>
    <t>Madlo krakorcové sklopné - nerez pro imobilní WC s držákem toalet.papíru, 800 mm</t>
  </si>
  <si>
    <t>Madlo krakorcové pevné - nerez, 900 mm pro imobilní WC</t>
  </si>
  <si>
    <t>Zásobník na toaletní papír nerezový na velké role, prům.300 mm, hl. 120 mm</t>
  </si>
  <si>
    <t>Zásobník na toaletní papír nerezový, černý, prům.300, hl. 120 mm</t>
  </si>
  <si>
    <t>Zásobník na toaletní papír nerezový, černý, duplexní, 333x265x147, designový</t>
  </si>
  <si>
    <t>Zásobník na papírové ručníky nerezový, černá úprava 340x265x110 mm, nástěnný, hranatý</t>
  </si>
  <si>
    <t>Zásobník na papírové ručníky nerezový, černý 333x264x141, designová řada, hranatý</t>
  </si>
  <si>
    <t>Zásobník na papírové ručníky nerezový mat, hranatý 340x265x110 mm</t>
  </si>
  <si>
    <t>Dávkovač tekutého mýdla nerezový pro imobil.WC,290x100x120 mm</t>
  </si>
  <si>
    <t>WC kartáč s nerezovým držákem na stěnu, černá povrch.úprava, černý kartáč</t>
  </si>
  <si>
    <t>Zásobník hygienických sáčků, odolný plast, na stěnu 138x99x27</t>
  </si>
  <si>
    <t>Zásobník hygienických sáčků nerez mat 138x99x27 na stěnu</t>
  </si>
  <si>
    <t>Koš odpadkový nerezový SLZN 11 obsah 5 l hygienický</t>
  </si>
  <si>
    <t>Koš odpadkový nerez, černá úprava 500x250x250, bez víka, volně stojící, 25 l</t>
  </si>
  <si>
    <t>Koš odpadkový nerez mat na papír.ručníky, 12 l, nástěnný  300x160x350 mm</t>
  </si>
  <si>
    <t>Zrcadlo v mosazném rámu 2300x900 a 1500x800 vč.pevné instal.na SDK</t>
  </si>
  <si>
    <t>Zrcadlo kulaté prům.70 cm, v černém kov.rámu vč.instal, na SDK</t>
  </si>
  <si>
    <t>Zrcadlo kulaté nástěnné prům.450 mm, černý kov.rám vč.instal.na SDK</t>
  </si>
  <si>
    <t>Zrcadlo nerez výklopné 40/60 cm, rám broušená nerez</t>
  </si>
  <si>
    <t>Háček na šaty , kov černá úprava, montáž na dveře lepením</t>
  </si>
  <si>
    <t>Montáž vybavení sociál. zařízení</t>
  </si>
  <si>
    <t>Výdejník pitné vody WL3 TT HC, 385/490/460mm,filtrace, kapacita chlazená v.2 l, perlivá v. 1,8 l</t>
  </si>
  <si>
    <t>Výdejník pitné vody WL2 FS HC, 349/1024/363mm, filtrace, kapacita horká v. 1,5l, chlazená v. 4l</t>
  </si>
  <si>
    <t>Instalační prefabrikáty</t>
  </si>
  <si>
    <t>Modul-WC pro závěsné WC, h 112 cm</t>
  </si>
  <si>
    <t>Vzduchotechnika - dodávka a montáž, komplet</t>
  </si>
  <si>
    <t>Cirkulační chladicí jednotka v kazetovém provedení s vodním chladičem 7/13°C, ventilátorem s třístupňovým EC motorem vč. čelní desky, čerpadla kondenz</t>
  </si>
  <si>
    <t>Podstropní kanálový fan-coil pravý ve čtyřtrubkovém provedení s EC motorem</t>
  </si>
  <si>
    <t>Připojovací příruba RDA</t>
  </si>
  <si>
    <t>Cirkulační chladicí a topná jednotka v čtyřtrubkovém kazetovém provedení s vodním chladičem a ohřevem, ventilátorem s třístupňovým EC motorem vč. čeln</t>
  </si>
  <si>
    <t>Regulátor proměnlivého průtoku vzduchu (vzduchotěsný s protihlukovým krytem)</t>
  </si>
  <si>
    <t>Sekundární tlumič hluku</t>
  </si>
  <si>
    <t>Uzavírací čtyřhranná klapka s přípravou na servopohon</t>
  </si>
  <si>
    <t>Regulátor konstantního průtoku, kruhový</t>
  </si>
  <si>
    <t>Ruční regulační klapka pro kruhové potrubí</t>
  </si>
  <si>
    <t>Štěrbinová vyústka trojřadá L=1050, provedení krajní</t>
  </si>
  <si>
    <t>Štěrbinová vyústka trojřadá L=1050, provedení středová</t>
  </si>
  <si>
    <t>Štěrbinová vyústka dvouřadá L=1050, provedení krajní</t>
  </si>
  <si>
    <t>krycí síto na potrubí</t>
  </si>
  <si>
    <t>Talířový ventil odvodni D125</t>
  </si>
  <si>
    <t>Talířový ventil odvodni D160</t>
  </si>
  <si>
    <t>Odvodní jednořadá vyústka do čtyřhranného potrubí bez regulace</t>
  </si>
  <si>
    <t>Přívodní dvouřadá vyústka do čtyřhranného potrubí bez regulace</t>
  </si>
  <si>
    <t>Odvodní jednořadá vyústka do čtyřhranného potrubí bez regulace montáž do podhledu</t>
  </si>
  <si>
    <t>Tlumič hluku včetně potrubí; 1000x300 L=1000; kulisy hluku: 3x 200mm</t>
  </si>
  <si>
    <t>Tlumič hluku včetně potrubí; 400x200 L=1000; kulisy hluku: 3x 100mm</t>
  </si>
  <si>
    <t>Tlumič hluku včetně potrubí; 315x160 L=1000; kulisy hluku: 2x 100mm</t>
  </si>
  <si>
    <t>Tlumič hluku včetně potrubí; 400x250 L=1500; kulisy hluku: 3x 100mm</t>
  </si>
  <si>
    <t>Potrubí čtyřhranné skupiny I – pozinkovaný plech, se spoji R. Třída těsnosti III. ČSN 42 5332, jakost 10 004.2.</t>
  </si>
  <si>
    <t>Spiropotrubí - safe, vč. tvarovek. D100</t>
  </si>
  <si>
    <t>Spiropotrubí - safe, vč. tvarovek. D125</t>
  </si>
  <si>
    <t>Spiropotrubí - safe, vč. tvarovek. D160</t>
  </si>
  <si>
    <t>Spiropotrubí - safe, vč. tvarovek. D200</t>
  </si>
  <si>
    <t>Spiropotrubí - safe, vč. tvarovek. D225</t>
  </si>
  <si>
    <t>Spiropotrubí - safe, vč. tvarovek. D250</t>
  </si>
  <si>
    <t>Flexo-potrubí kruhové ze stáčeného plechu se zvukovou izolací tl. 25 mm, mat. hliníková slitina, průměr D160</t>
  </si>
  <si>
    <t>Flexo-potrubí kruhové ze stáčeného plechu se zvukovou izolací tl. 25 mm, mat. hliníková slitina, průměr D125</t>
  </si>
  <si>
    <t>Hluková izolace potrubí deskami z minerální vlny, s povrchovou úpravou hliníkovou fólií, uchycení trny.</t>
  </si>
  <si>
    <t>Podstropní kanálový fan-coil pravý ve dvoutrubkovém provedení s EC motorem</t>
  </si>
  <si>
    <t>Nástěnná fan-coil jednotka v dvoutrubkovém provedení s AC motorem</t>
  </si>
  <si>
    <t>Axiální ventilátor do potrubí vč. Pružných manžet, D160, 350 m3/h; 250 Pa</t>
  </si>
  <si>
    <t>Regulátor proměnlivého průtoku vzduchu kruhový (vzduchotěsný s protihlukovým krytem)</t>
  </si>
  <si>
    <t>Sekundární tlumič hluku kruhový D200</t>
  </si>
  <si>
    <t>Ruční regulační klapka pro čtyřhranné potrubí</t>
  </si>
  <si>
    <t>Štěrbinová vyústka trojřadá L=1200, provedení krajní</t>
  </si>
  <si>
    <t>Štěrbinová vyústka dvouřadá L=1200, provedení krajní</t>
  </si>
  <si>
    <t>Přívodní dvouřadá vyústka do čtyřhranného potrubí s regulací</t>
  </si>
  <si>
    <t>Anemostat pro přívod vzduchu, kruhová čelní deska, nastavitelné lamely včetně plenum boxu, boční připojení D160, Systemair</t>
  </si>
  <si>
    <t>Anemostat pro přívod vzduchu, kruhová čelní deska, nastavitelné lamely včetně plenum boxu, boční připojení D200, Systemair</t>
  </si>
  <si>
    <t>Talířový ventil odvodni D100</t>
  </si>
  <si>
    <t>Kruhový tlumič hluku D160</t>
  </si>
  <si>
    <t>Tlumič hluku včetně potrubí; 315x200 L=1000; kulisy hluku: 2x 100mm</t>
  </si>
  <si>
    <t>Telefonní tlumič vsuvný Elektrodesign vč spiro</t>
  </si>
  <si>
    <t>Flexo-potrubí kruhové ze stáčeného plechu se zvukovou izolací tl. 25 mm, mat. hliníková slitina, průměr D100</t>
  </si>
  <si>
    <t>Flexo-potrubí kruhové ze stáčeného plechu se zvukovou izolací tl. 25 mm, mat. hliníková slitina, průměr D200</t>
  </si>
  <si>
    <t>Cirkulační chladicí jednotka v kazetovém provedení s vodním chladičem 7/13°C, ventilátorem s EC motorem vč. čelní desky, čerpadla kondenzátu, s výstup</t>
  </si>
  <si>
    <t>Podstropní kanálový fan-coil pravý s EC motorem</t>
  </si>
  <si>
    <t>Regulátor konstantního průtoku, vsuvný do kruhového potrubí</t>
  </si>
  <si>
    <t>Talířový ventil přívodni D125</t>
  </si>
  <si>
    <t>Tlumič hluku včetně potrubí; 400x200 L=1000; kulisy hluku: 2x 100mm</t>
  </si>
  <si>
    <t>Tlumič hluku včetně potrubí; 450x250 L=1500; kulisy hluku: 3x 100mm</t>
  </si>
  <si>
    <t>Dopojení uzavíracích klapek na WC</t>
  </si>
  <si>
    <t>Měření hluku</t>
  </si>
  <si>
    <t>Dopojení VAV regulátorů na MaR včetně čidel CO2</t>
  </si>
  <si>
    <t>Vytápění - rozvody, radiátory, armatury a ostatní komplet vytápění</t>
  </si>
  <si>
    <t>Trubkové otopné těleso, (2-počet sloupků, stavební výška 900mm - počet článků), hloubky 62mm, dvoutrubkové boční připojení,_x000D_
vč. připevnění na stěnu,</t>
  </si>
  <si>
    <t>Trubkové otopné těleso, (3-počet sloupků, stavební výška 2000mm- počet článků), hloubky 100mm,dvoutrubkové boční připojení,_x000D_
vč. připevnění na stěnu,</t>
  </si>
  <si>
    <t>Axiální termostatický ventil s druhou regulaci (přednastavením) pro otopné těleso, vč. svěrného spoje pro trubku Al-Pex 16x2mm., DN 15</t>
  </si>
  <si>
    <t>Rohové radiátotové regulační šroubení pro připojení  otopného tělesa, vč. svěrného spoje pro trubku Al-Pex 16x2mm., DN 15</t>
  </si>
  <si>
    <t>Termostatická radiátorová hlavice kapalinová se zabudovaným _x000D_
čidlem.</t>
  </si>
  <si>
    <t>Kulový uzavírací kohout. DN 10</t>
  </si>
  <si>
    <t>Kulový uzavírací kohout. DN 15</t>
  </si>
  <si>
    <t>Kulový uzavírací kohout., DN 20</t>
  </si>
  <si>
    <t>Tlakově nezávislý regulační a vyvažovací ventil Compact P s pohonem EMO-T 24V s regulací on-off, DN 15, max. průtok 245 l/h, závitové připojení G3/4".</t>
  </si>
  <si>
    <t>Tlakově nezávislý regulační a vyvažovací ventil Compact P s pohonem EMO-T 24V s regulací on-off, DN 10, max. průtok 120 l/h, závitové připojení G1/2".</t>
  </si>
  <si>
    <t>Vypouštěcí kulový kohout vč. zátky.</t>
  </si>
  <si>
    <t>Třívrstvé Al-Pex potrubí včetně veškerých fitinek.</t>
  </si>
  <si>
    <t>Automatický odvzdušňovací ventil, plovákový.</t>
  </si>
  <si>
    <t>Připojovací hadice</t>
  </si>
  <si>
    <t>Tepelná izolace potrubí s topnou vodou hadicemi z polyethylenu, pro  tmax = 105°C, l(20°) = 0.035 W/m/K</t>
  </si>
  <si>
    <t>Trubkové otopné těleso, (4-počet sloupků, stavební výška 400mm- počet článků), hloubky 136mm, dvoutrubkové boční připojení,_x000D_
vč. připevnění na stěnu,</t>
  </si>
  <si>
    <t>Trubkové otopné těleso, (4-počet sloupků, stavební výška 900mm- počet článků), hloubky 136mm, dvoutrubkové boční připojení,_x000D_
vč. připevnění na stěnu,</t>
  </si>
  <si>
    <t>Trubkové otopné těleso, (5-počet sloupků, stavební výška 400mm- počet článků), hloubky 173mm, dvoutrubkové boční připojení,_x000D_
vč. připevnění na stěnu,</t>
  </si>
  <si>
    <t>Trubkové otopné těleso, (5-počet sloupků, stavební výška 900mm- počet článků), hloubky 173mm, dvoutrubkové boční připojení,_x000D_
vč. připevnění na stěnu,</t>
  </si>
  <si>
    <t>Trubkové otopné těleso, (6-počet sloupků, stavební výška 400mm- počet článků), hloubky 210mm, dvoutrubkové boční připojení,_x000D_
vč. připevnění na stěnu,</t>
  </si>
  <si>
    <t>Axiální termostatický ventil s druhou regulaci (přednastavením) pro otopné těleso, vč. svěrného spoje pro trubku Al-Pex 16x2mm.</t>
  </si>
  <si>
    <t>Rohové radiátotové regulační šroubení pro připojení  otopného tělesa, vč. svěrného spoje pro trubku Al-Pex 16x2mm.</t>
  </si>
  <si>
    <t>Termopohon 24V.</t>
  </si>
  <si>
    <t>Kulový uzavírací kohout.</t>
  </si>
  <si>
    <t>Trubkové otopné těleso, (2-počet sloupků, stavební výška 600mm - počet článků), hloubky 62mm, dvoutrubkové boční připojení,_x000D_
vč. připevnění na stěnu,</t>
  </si>
  <si>
    <t>Trubkové otopné těleso, (3-počet sloupků, stavební výška 400mm- počet článků), hloubky 100mm,dvoutrubkové boční připojení,_x000D_
vč. připevnění na stěnu, v</t>
  </si>
  <si>
    <t>Trubkové otopné těleso, (3-počet sloupků, stavební výška 600mm- počet článků), hloubky 100mm,dvoutrubkové boční připojení,_x000D_
vč. připevnění na stěnu, v</t>
  </si>
  <si>
    <t>Dokumentace skutečného provedení profese ÚT</t>
  </si>
  <si>
    <t>Topná zkouška.</t>
  </si>
  <si>
    <t>Těleso trub. (2 sloupky, v.600mm),hl.62 mm,dvoutrubkové, boční přip.,vč.připevn.na stěnu, zátek a odvzduš. (Arbonia 2060-6)</t>
  </si>
  <si>
    <t>Kulový uzavírací kohout DN 25</t>
  </si>
  <si>
    <t>Potrubí Al-Pex třívrstvé vč. fitinek PE-Xc , D 20x2,0,</t>
  </si>
  <si>
    <t>Tepelná Izolace potrubí návleková hadicemi z polyethylenu pro potrubí 20x2 a 16x2</t>
  </si>
  <si>
    <t>Těleso trub. otop.(5-sloupků, v.400mm),hl.173mm, dvoutrub.boční přip.,vč.zátek a odvzduš.</t>
  </si>
  <si>
    <t>Třívrstvé Al-Pex potrubí vč. fitinek PE-Xc, 16x2</t>
  </si>
  <si>
    <t>Třívrstvé Al-Pex potrubí vč. fitinek  PE-Xc 26x3</t>
  </si>
  <si>
    <t>Izolace návleková potrubí hadicemi z polyethylenu pro vodu max.105 st.C pro potr. 26x3</t>
  </si>
  <si>
    <t>Těleso trub. otop.,4 sloupky,v.400mm, hl.136mm, dvoutrub.vč.připevnění, zátek a odvzduš.</t>
  </si>
  <si>
    <t>Těleso trub. otop., 5sloupků, v.400mm, hl. 173mm, dvoutr.,boční přip. vč.připevnění, zátek a odvzduš.</t>
  </si>
  <si>
    <t>Těleso trub. otop., 5 sloupků,v.600mm,hl.173mm,dvoutrub,boční přip. vč.zátek,připevnění a odvzduš.</t>
  </si>
  <si>
    <t>Těleso trub. otop., 6 sloupků,v.600mm, hl.210mm, douvrstvé,boční přip.vč.připevnění,zátek a odvzduš.</t>
  </si>
  <si>
    <t>Strojovny</t>
  </si>
  <si>
    <t>Orientační systém v budově - cedulky, informace,D+M</t>
  </si>
  <si>
    <t>Chlazení - dodávka a montáž komplet</t>
  </si>
  <si>
    <t>Venkovní jednotka Mini Sky Air Alpha; chladivo R32; 230V/16A, Qchl=3,5 kW</t>
  </si>
  <si>
    <t>Vnitřní nástěnná jednotka Split PERFERA; chladivo R32</t>
  </si>
  <si>
    <t>Chladivové potrubí včetně izolace</t>
  </si>
  <si>
    <t>Doplnění chladiva R32</t>
  </si>
  <si>
    <t>Kabelový adaptér pro externí dálkové řízení přes beznapěťové kontakty</t>
  </si>
  <si>
    <t>Redukce S21 pro Stylish IDU</t>
  </si>
  <si>
    <t>Tlakově nezávislý regulační a vyvažovací ventil Compact P s pohonem EMO-T 230V s regulací on-off, DN 15, max. průtok 470 l/h, závitové připojení G3/4"</t>
  </si>
  <si>
    <t>Tlakově nezávislý regulační a vyvažovací ventil Compact P s pohonem EMO-T 230V s regulací on-off, DN 20, max. průtok 1150 l/h, závitové připojení G1".</t>
  </si>
  <si>
    <t>Ocelové potrubí závitové běžné, mat. 11 353.1, včetně základního dvojitého nátěru vč. tvarovek.</t>
  </si>
  <si>
    <t>Izolace potrubí rourovými profily z pěněného umělého kaučuku (elastomer), s odolností proti pronikání vzdušné vlhkosti. Spoje lepeny.</t>
  </si>
  <si>
    <t>Tepelná izolace armatur (s uzavřenou strukturou buněk,s difuzním odporem 8000).</t>
  </si>
  <si>
    <t>Tlakově nezávislý regulační a vyvažovací ventil Compact P s pohonem EMO-T 230V s regulací on-off, DN 15, max. průtok 245 l/h, závitové připojení G3/4"</t>
  </si>
  <si>
    <t>Tlakově nezávislý regulační a vyvažovací ventil Compact P s pohonem EMO-T 230V s regulací on-off, DN 25, max. průtok 2150 l/h, závitové připojení G5/4</t>
  </si>
  <si>
    <t>Dokumentace skutečného provedení profese CHL.</t>
  </si>
  <si>
    <t>Konstrukce truhlářské</t>
  </si>
  <si>
    <t>Mobilní příčky stahovatelné, specifikace dle přílohy 2 Tabulky povrchů</t>
  </si>
  <si>
    <t>Původní dveře renovované, nová obložk.zárubeň 90/210,  D01, vč. horního panelu</t>
  </si>
  <si>
    <t>Původní dveře renovované 96/208, nová obložk.zárubeň, D02, vč. horního panelu</t>
  </si>
  <si>
    <t>Původní dveře renovované do nové obložk.zárubně 90/210, D03, vč. horního panelu</t>
  </si>
  <si>
    <t>Původní dveře renovované 90/210, nová obložk.zárubeň, D04, vč. horního panelu</t>
  </si>
  <si>
    <t>Původní dveře renovované 90/205, nová obložk.zárubeň,  D05, vč. horního panelu</t>
  </si>
  <si>
    <t>Původní dveře renovované, 90/205, nová obložk.zárubeň,  D06, vč. horního panelu</t>
  </si>
  <si>
    <t>Původní dveře renovované 90/209, nová obložk.zárubeň,  D07, vč. horního panelu</t>
  </si>
  <si>
    <t>Původní dveře renovované, 86/195, nová obložk.zárubeň,  D08,  vč. horního panelu</t>
  </si>
  <si>
    <t>Původní dveře renovované, 90/210, nová obložk.zárubeň,  D09, vč. hor.panelu</t>
  </si>
  <si>
    <t>Původní dveře renovované 90/210, nová obl.zárubeň,  D10, vč. hor.panelu</t>
  </si>
  <si>
    <t>Kopie původ.dveří do dřev.zárubně 70/210, nová obložk.zár.,  D11, s hor.panelem, D+M</t>
  </si>
  <si>
    <t>Dřevěné dveře 72/210, zárubeň kovová skrytá, dle tab. D12</t>
  </si>
  <si>
    <t>Montáž dveří do zárubně, otevíravých 1kř. š. do 800 mm</t>
  </si>
  <si>
    <t>D+M dveří dřev. 80/210, kovová skryt.zárubeň atyp. tab. D13</t>
  </si>
  <si>
    <t>D+M dveří dřev.plných 70/210, kov.skrytá zárubeň atypic., tab. D14</t>
  </si>
  <si>
    <t>D+M dřev.dveří do dřev. skryté zárubně, 90/200 dle tab. D17</t>
  </si>
  <si>
    <t>Nábytek sedací a stolky typové</t>
  </si>
  <si>
    <t>04/Nt židle stohovatelná, čalouněná s kovovou podnoží, kluzáky na koberec</t>
  </si>
  <si>
    <t>14/Nt židle barová, celočalouněná, bez područek, kovová podnož černá</t>
  </si>
  <si>
    <t>01/Nt kancelářská židle, otočná, stavit., čalouněná, kolečka na koberec, područky, opěrka hlavy</t>
  </si>
  <si>
    <t>02/Nt kancelářská židle řadová, stavit,kolečka na koberec,bez područek, celočalouněná</t>
  </si>
  <si>
    <t>07/Nt Otočná pracovní židle, stavitelná, čalouněná</t>
  </si>
  <si>
    <t>06/Nt otočná pracovní židle, stavitelná, čalouněný sedák, síťovaný opěrák</t>
  </si>
  <si>
    <t>D+M polokřeslo čalouněné, kovová podnož, 13/Nt</t>
  </si>
  <si>
    <t>03/Nt  Lavice z lepeného dřeva 800/400/360 mm</t>
  </si>
  <si>
    <t>05/Nt Barový stůl pr. 60 cm</t>
  </si>
  <si>
    <t>08/Nt Barová židle čalouněná</t>
  </si>
  <si>
    <t>09/Nt  Mobilní stolek pro osoby na invalidním vozíku</t>
  </si>
  <si>
    <t>10/Nt Konferenční stolek pr. 65 cm</t>
  </si>
  <si>
    <t>11/Nt Stolek konferenční malý, pr. 45 cm</t>
  </si>
  <si>
    <t>12/Nt Věšák kovový černý</t>
  </si>
  <si>
    <t>Atypický nábytek dle výkresů nábytku</t>
  </si>
  <si>
    <t>D+M prvek 101.1/NA</t>
  </si>
  <si>
    <t>D+M prvek 101.2/NA</t>
  </si>
  <si>
    <t>D+M prvek 202.1/NA, 209.1/NA, 305.1/NA, 321.1/NA(2 ks)</t>
  </si>
  <si>
    <t>D+M prvkub104.1/NA</t>
  </si>
  <si>
    <t>D+M prvku 104.2/NA</t>
  </si>
  <si>
    <t>D+M prvku 105.1/NA</t>
  </si>
  <si>
    <t>D+M prvku 105.2/NA</t>
  </si>
  <si>
    <t>D+M prvku 105.3/NA</t>
  </si>
  <si>
    <t>D+M prvku 105.4/NA</t>
  </si>
  <si>
    <t>D+M prvku 201.1/NA</t>
  </si>
  <si>
    <t>D+M prvku 201.1/NA cast1</t>
  </si>
  <si>
    <t>D+M prvku 204.1/NA</t>
  </si>
  <si>
    <t>D+M prvku 204.2/NA</t>
  </si>
  <si>
    <t>D+M prvku204.3/NA</t>
  </si>
  <si>
    <t>D+M prvku 204.4/NA</t>
  </si>
  <si>
    <t>D+M prvku 205.1/NA</t>
  </si>
  <si>
    <t>D+M prvku 205.2/NA</t>
  </si>
  <si>
    <t>D+M prvku 205.3/NA</t>
  </si>
  <si>
    <t>D+M prvku 205.4/NA</t>
  </si>
  <si>
    <t>D+M prvku 205.6/NA</t>
  </si>
  <si>
    <t>D+M prvku 206.1/NA</t>
  </si>
  <si>
    <t>D+M prvku 206.3/NA</t>
  </si>
  <si>
    <t>D+M prvku 206.4/NA</t>
  </si>
  <si>
    <t>D+M prvku 206.5/NA</t>
  </si>
  <si>
    <t>D+M prvku 211.1/NA</t>
  </si>
  <si>
    <t>D+M prvku 211.2/NA</t>
  </si>
  <si>
    <t>D+M prvku 212.1/NA</t>
  </si>
  <si>
    <t>D+M prvku 212.2/NA</t>
  </si>
  <si>
    <t>D+M prvku 212.3/NA</t>
  </si>
  <si>
    <t>D+M prvku 212.4/NA</t>
  </si>
  <si>
    <t>D+M prvku 212.5/NA</t>
  </si>
  <si>
    <t>D+M prvku 213.1/NA</t>
  </si>
  <si>
    <t>D+M prvku 214.1/NA</t>
  </si>
  <si>
    <t>D+M prvku 215.1/NA</t>
  </si>
  <si>
    <t>D+M prvku 302.1/NA</t>
  </si>
  <si>
    <t>D+M prvku 302.3/NA</t>
  </si>
  <si>
    <t>D+M prvku 306.1/NA</t>
  </si>
  <si>
    <t>D+M prvku 306.2/NA</t>
  </si>
  <si>
    <t>D+M prvku 309.1/NA</t>
  </si>
  <si>
    <t>D+M prvku 310.1/NA</t>
  </si>
  <si>
    <t>D+M prvku 311.1/NA</t>
  </si>
  <si>
    <t>D+M prvku 311.2/NA</t>
  </si>
  <si>
    <t>D+M prvku 311.3/NA</t>
  </si>
  <si>
    <t>D+M prvku 311.4/NA</t>
  </si>
  <si>
    <t>D+M prvku 311.5/NA</t>
  </si>
  <si>
    <t>D+M prvku 313.1/NA</t>
  </si>
  <si>
    <t>D+M prvku 313.2/NA</t>
  </si>
  <si>
    <t>D+M prvku 313.3/NA</t>
  </si>
  <si>
    <t>D+M prvku 313.4/NA</t>
  </si>
  <si>
    <t>D+M prvku 314.1/NA</t>
  </si>
  <si>
    <t>D+M prvku 314.2/NA</t>
  </si>
  <si>
    <t>D+M prvku 315.1/NA</t>
  </si>
  <si>
    <t>D+M prvku 315.2/NA</t>
  </si>
  <si>
    <t>D+M prvku 320.1 cast 2/NA</t>
  </si>
  <si>
    <t>D+M prvku 320.1 cast 1/NA</t>
  </si>
  <si>
    <t>D+M prvku 323.1/NA</t>
  </si>
  <si>
    <t>D+M prvku 324.1/NA</t>
  </si>
  <si>
    <t>D+M prvku 324.2/NA</t>
  </si>
  <si>
    <t>D+M prvku 324.3/NA</t>
  </si>
  <si>
    <t>D+M prvku 324.4/NA</t>
  </si>
  <si>
    <t>D+M prvku 325.1/NA</t>
  </si>
  <si>
    <t>D+M prvku 325.2/NA</t>
  </si>
  <si>
    <t>D+M prvku 325.3/NA</t>
  </si>
  <si>
    <t>D+M prvku 325.4/NA</t>
  </si>
  <si>
    <t>D+M prvku 328.1/NA</t>
  </si>
  <si>
    <t>D+M prvku 330.1/NA</t>
  </si>
  <si>
    <t>D+M prvku 331.1/NA</t>
  </si>
  <si>
    <t>D+M prvku 332.1/NA</t>
  </si>
  <si>
    <t>D+M prvku 333.1/NA</t>
  </si>
  <si>
    <t>D+M prvku 333.2/NA</t>
  </si>
  <si>
    <t>D+M prvku 333.3/NA</t>
  </si>
  <si>
    <t>D+M prvku 333.4/NA</t>
  </si>
  <si>
    <t>D+M prvku 333.5/NA</t>
  </si>
  <si>
    <t>D+M 206.2/NA, 201.2/NA, 320.2/NA Lobby pohovka délka 435 cm</t>
  </si>
  <si>
    <t>D+M Lobby pohovka 302.2/NA, délka 315 cm</t>
  </si>
  <si>
    <t>D+M taburet pr. 90 cm dle 201.3/NA(2 ks), 206.3/NA, 302.4/NA a 320.3/NA</t>
  </si>
  <si>
    <t>Konstrukce doplňkové stavební (zámečnické)</t>
  </si>
  <si>
    <t>Dodávka a Montáž zdvojených podlah, pod dlažby, koberce a lina</t>
  </si>
  <si>
    <t>D+M ocelové zárubně bezfalcové dle tab. D15, 80/210</t>
  </si>
  <si>
    <t>D+M požárních ocel.dveří do bezfalc. zárubně 80/210, dle tab. D16</t>
  </si>
  <si>
    <t>D+M ocel.dveří do ocel. zárubně do SDK,  dle tab. D18, 70/2100, vč. zárubně</t>
  </si>
  <si>
    <t>Kliky designové mosazné repasované dveře</t>
  </si>
  <si>
    <t>Kliky designové černé</t>
  </si>
  <si>
    <t>Kliky černé obyčejné</t>
  </si>
  <si>
    <t>Dokončení okování dveří,repasovaných, kliky, rozety, zámky</t>
  </si>
  <si>
    <t>Dvířka revizní do SDK 600x600 mm,tl.12,5 mm, dle tab. Z05</t>
  </si>
  <si>
    <t>Dvířka revizní do SDK 400x400 mm,tl.12,5 mm, dle tab. Z06</t>
  </si>
  <si>
    <t>Dvířka revizní do SDK 300x300 mm,tl.12,5, dle tab. Z07</t>
  </si>
  <si>
    <t>Dvířka revizní do SDK 600x600 mm, skrytá pod keram.obklad dle tab. Z08</t>
  </si>
  <si>
    <t>Kliky k proskleným dveřím designové černé</t>
  </si>
  <si>
    <t>Zámek WC designový mosazný</t>
  </si>
  <si>
    <t>Zámek na klíč mosazný designový</t>
  </si>
  <si>
    <t>Zámek na klíč černý designový</t>
  </si>
  <si>
    <t>Zámek na klíč černý obyčejný</t>
  </si>
  <si>
    <t>Zámek WC černý obyčejný</t>
  </si>
  <si>
    <t>Panikové kování</t>
  </si>
  <si>
    <t>Montáž zdvojených podlah - příplatek za vytvoření stupňovité podlahy se schodišťovými stupni</t>
  </si>
  <si>
    <t>Podlahy z dlaždic</t>
  </si>
  <si>
    <t>Montáž podlah keram.,hladké, tmel, 60x60 cm</t>
  </si>
  <si>
    <t>Hrana schodů z hliníkového profilu</t>
  </si>
  <si>
    <t>RAKO serie Betonico - dlaždice 60x60x2 cm</t>
  </si>
  <si>
    <t>Provedení penetrace podkladu pod dlažby</t>
  </si>
  <si>
    <t>Provedení hydroizol. stěrky pod dlažby dvouvrstvé</t>
  </si>
  <si>
    <t>Bandáž koutů - provedení</t>
  </si>
  <si>
    <t>Podlahy povlakové</t>
  </si>
  <si>
    <t>Lepení povlakových podlah z pásů textilních, vč. zátěžového koberce</t>
  </si>
  <si>
    <t>Lepení povlakových podlah z pásů linolea</t>
  </si>
  <si>
    <t>Lišta hliníková podlahová krycí, povlak.podlaha, D+M dle tab. Z01,02,</t>
  </si>
  <si>
    <t>Linoleum Marmorette LCH LPX tl. 2,5 mm, š. 2 m</t>
  </si>
  <si>
    <t>Podlahová lišta schodová, dle tab. Z03</t>
  </si>
  <si>
    <t>Dilatační lišta dvojité podlahy dle tab. Z04</t>
  </si>
  <si>
    <t>Obklady (keramické)</t>
  </si>
  <si>
    <t>Obkládání stěn obkl. keramickým do tmele  300x600</t>
  </si>
  <si>
    <t>Obkládačka 30x60 Rako Betonica šedá</t>
  </si>
  <si>
    <t>Obkládačka 30x60 světle šedá reliéfní rýhovaná</t>
  </si>
  <si>
    <t>Řezání obkladaček diamantovým kotoučem</t>
  </si>
  <si>
    <t>Otvor v obkladačce diamant.korunkou prům.do 90 mm</t>
  </si>
  <si>
    <t>Otvor v obkladačce diamant.korunkou prům.do 30 mm</t>
  </si>
  <si>
    <t>Řezání hran 45° - kamenický řez (jolly)</t>
  </si>
  <si>
    <t>Montáž lišt mezi stěrkou a obkladem</t>
  </si>
  <si>
    <t>Lišta ukončovací mezi stěrkou a obkladem</t>
  </si>
  <si>
    <t>Nátěry</t>
  </si>
  <si>
    <t>Nátěr betonových sloupů transparentní, uzavírací dle skladby konstr.</t>
  </si>
  <si>
    <t>Malby</t>
  </si>
  <si>
    <t>Penetrace podkladu nátěrem  1 x</t>
  </si>
  <si>
    <t>Malba na sádrokarton i omítky, barva dle výkresů, převážně bílá, bez penetrace, 2 x</t>
  </si>
  <si>
    <t>Ostatní výrobky</t>
  </si>
  <si>
    <t>Stojan na odpadkové pytle 60 l dle tab. 01/Os</t>
  </si>
  <si>
    <t>Koš odpadkový protipožární z ocel. plechu dle tab. 02/Os</t>
  </si>
  <si>
    <t>Koš odpadkový pro umístění do nábytku 40 l, dle tab. 03/Os</t>
  </si>
  <si>
    <t>Přístroj hasicí práškový 21A dle tab,10/Os</t>
  </si>
  <si>
    <t>Skříňka pro hasící přístroj z plechu 595/260/210 mm dle tab. 11/Os</t>
  </si>
  <si>
    <t>Přístroj hasicí 113B CO2 dle tab. 12/Os</t>
  </si>
  <si>
    <t>Označení umístění hasícího přístroje, piktogram dle tab. 13/Os</t>
  </si>
  <si>
    <t>Roleta bílá screenová na řetízkové ovládání mezi kanceláře 5000/3300 mm dle tab. 21/Os</t>
  </si>
  <si>
    <t>Roleta bílá screenová na řetíz.ovládání 700/3300 mm dle tab.22/Os</t>
  </si>
  <si>
    <t>Roleta bílá screenová na řetíz.ovl. dle tab. 23/Os, 2700/2300 mm</t>
  </si>
  <si>
    <t>Roleta screenová na řetízk.ovl. dle tab. 24/Os, 2000/2500 mm</t>
  </si>
  <si>
    <t>Roleta screenová na řetízk.ovl. dle tab,25/Os 2300/2300 mm</t>
  </si>
  <si>
    <t>Roleta bílá screenová na řetíz.ovl. 4000/2500 dle tab. 26/Os</t>
  </si>
  <si>
    <t>Závěsy bílé průhledné, manuál.ovl. dle tab. 27/Os, výška 3 m s kolejnič., je třeba připočítat m na řasení látky</t>
  </si>
  <si>
    <t>Závěsy v barvě obkladů výška 3 m zatemň. dle tab. 28/Os, je třeba připočítat m na řasení látky</t>
  </si>
  <si>
    <t>Závěsy zatemň. v barvě obkladů, výška 3700 mm dle tab. 29/Os, je třeba připočítat m na řasení látky</t>
  </si>
  <si>
    <t>Dvojkolejnice pro závěsy černá dle tab. 30/Os</t>
  </si>
  <si>
    <t>Montáž a osazování ostatních výrobků</t>
  </si>
  <si>
    <t>Zařizovací předměty- kuchyněk</t>
  </si>
  <si>
    <t>Prodejní automat (jídlo,nápoje) dle tab. 01/Zt</t>
  </si>
  <si>
    <t>Nápojový automat (káva, instant.nápoje) dle tab. 02/Zt</t>
  </si>
  <si>
    <t>Vestavná lednice podpultová dle tab, 03/Zt</t>
  </si>
  <si>
    <t>Vestavná lednice s mrazákem dle tab. 04/Zt</t>
  </si>
  <si>
    <t>Vestavná myčka nádobí š. 450 mm dle tab. 05/Zt</t>
  </si>
  <si>
    <t>Vestavná myčka š. 600 mm dle tab. 06/Zt</t>
  </si>
  <si>
    <t>Dřez nerez do modulu 450 mm, 352/400 mm důle tab. 07/Zt</t>
  </si>
  <si>
    <t>Nerezový dřez do modulu 600 mm 512/412 mm, dle tab. 08/Zt</t>
  </si>
  <si>
    <t>Kávovar vestavný 550/470/450 mm, dle tab. 09/Zt</t>
  </si>
  <si>
    <t>Vestavná mikrovlnná trouba 594/317/382 mm dle tab. 10/Zt</t>
  </si>
  <si>
    <t>Montáž a zprovoznění zařízení kuchyněk</t>
  </si>
  <si>
    <t>Lešení a stavební výtahy</t>
  </si>
  <si>
    <t>Lešení lehké pomocné, výška podlahy do 1,9 m</t>
  </si>
  <si>
    <t>Budovy občanské výstavby</t>
  </si>
  <si>
    <t>Přesun hmot pro budovy monolitické výšky do 24 m</t>
  </si>
  <si>
    <t>Přesun hmot pro akustická opatření, výšky do 24 m</t>
  </si>
  <si>
    <t>Zdravotně technické instalace</t>
  </si>
  <si>
    <t>Přesun hmot pro vzduchotechniku, výšky do 24 m</t>
  </si>
  <si>
    <t>Vnitřní kanalizace</t>
  </si>
  <si>
    <t>Přesun hmot pro vnitřní kanalizaci, výšky do 24 m</t>
  </si>
  <si>
    <t>Vnitřní vodovod</t>
  </si>
  <si>
    <t>Přesun hmot pro vnitřní vodovod, výšky do 24 m</t>
  </si>
  <si>
    <t>Přesun hmot pro zařizovací předměty, výšky do 24 m</t>
  </si>
  <si>
    <t>Přesun hmot pro předstěnové systémy, výšky do 24 m</t>
  </si>
  <si>
    <t>Kotelny</t>
  </si>
  <si>
    <t>Přesun hmot pro kotelny, výšky do 12 m</t>
  </si>
  <si>
    <t>Přesun hmot pro strojovny, výšky do 12 m</t>
  </si>
  <si>
    <t>Přesun hmot pro truhlářské konstr., výšky do 24 m</t>
  </si>
  <si>
    <t>Přesun hmot pro zámečnické konstr., výšky do 24 m</t>
  </si>
  <si>
    <t>Přesun hmot pro podlahy z dlaždic, výšky do 24 m</t>
  </si>
  <si>
    <t>Podlahy vlysové a parketové</t>
  </si>
  <si>
    <t>Přesun hmot pro podlahy vlysové, výšky do 24 m</t>
  </si>
  <si>
    <t>Přesun hmot pro obklady keramické, výšky do 24 m</t>
  </si>
  <si>
    <t>Ostatní přesuny hmot</t>
  </si>
  <si>
    <t>Přesun hmot pro opravy a údržbu do výšky 25 m</t>
  </si>
  <si>
    <t>Montážní přirážky</t>
  </si>
  <si>
    <t>Zařízení staveniště nabídka neobsahuje dodávkou stavby.</t>
  </si>
  <si>
    <t>Elektromontáže - silnoproud D+M komplet - nájemce</t>
  </si>
  <si>
    <t>Rozvaděč R_N1.4 - viz schéma rozvaděče a kabelová listina - nájemce</t>
  </si>
  <si>
    <t>Rozvaděč R_N2.3 - viz schéma rozvaděče a kabelová listina - nájemce</t>
  </si>
  <si>
    <t>Rozvaděč R_N2.4 - viz schéma rozvaděče a kabelová listina - nájemce</t>
  </si>
  <si>
    <t>Rozvaděč R_N3.1 - viz schéma rozvaděče a kabelová listina - nájemce</t>
  </si>
  <si>
    <t>Rozvaděč R_N3.3 - viz schéma rozvaděče a kabelová listina - nájemce</t>
  </si>
  <si>
    <t>Rozvaděč R_N3.4 - viz schéma rozvaděče a kabelová listina - nájemce</t>
  </si>
  <si>
    <t>Vypínač jednopólový (řaz. 1), 10A/250V, kompletní, IP20</t>
  </si>
  <si>
    <t>Přepínač  (řaz. 5), 10A/250V, kompletní, IP20</t>
  </si>
  <si>
    <t>Přepínač jednopólový střídavý (řaz. 6), 10A/250V, kompletní, IP20</t>
  </si>
  <si>
    <t>Přepínač dvojpólový střídavý (řaz. 6+6), 10A/250V, kompletní, IP20</t>
  </si>
  <si>
    <t>Tlačítko (řaz 1/0, 10A/250V, kompletní, IP20</t>
  </si>
  <si>
    <t>Zásuvka jednonásobná, s clonkami, 16A/250V, kompletní, IP20</t>
  </si>
  <si>
    <t>Zásuvka jednonásobná, 16A/250V, kompletní, IP20, na povrch</t>
  </si>
  <si>
    <t>Zásuvka jednonásobná do podlahy, 16A/250V</t>
  </si>
  <si>
    <t>Zásuvka jednonásobná, 32A/400V, kompletní</t>
  </si>
  <si>
    <t>Zapojení zásuvky jednonásobné, 16A/250V, v nábytku</t>
  </si>
  <si>
    <t>Vývod ukončený na svorkovnici, nebo zařízení 230V 1f</t>
  </si>
  <si>
    <t>CYKY-J 5x6</t>
  </si>
  <si>
    <t>CYKY-J 3x2,5</t>
  </si>
  <si>
    <t>CYKY-J 5x1,5</t>
  </si>
  <si>
    <t>CYKY-J 3x1,5</t>
  </si>
  <si>
    <t>CYKY-O 3x1,5</t>
  </si>
  <si>
    <t>PRAFlaDur-J 3x1,5</t>
  </si>
  <si>
    <t>CYA 6 ZŽ</t>
  </si>
  <si>
    <t>CYA 4 ZŽ</t>
  </si>
  <si>
    <t>Kabelový žlab 100x60 vč. tvarovek a upevňovacího materiálu</t>
  </si>
  <si>
    <t>Kabelový žlab 150x60 vč. tvarovek a upevňovacího materiálu</t>
  </si>
  <si>
    <t>Chránička pr.40mm bez příslušenství</t>
  </si>
  <si>
    <t>Chránička pr.24mm bez příslušenství</t>
  </si>
  <si>
    <t>Trubka elektroinstalační do průměru 25, včetně uchycení</t>
  </si>
  <si>
    <t>Trubka elektroinstalační do průměru 32, včetně uchycení</t>
  </si>
  <si>
    <t>Kabelové příchytky</t>
  </si>
  <si>
    <t>Kabelové příchytky se zachování funkčnosti</t>
  </si>
  <si>
    <t>Dokumentace skutečného provedení stavby zachycující skutečný stav po kompletních montážích a zkouškách, s vyznačením polohy a přístupnosti prvků vyžad</t>
  </si>
  <si>
    <t>Doplnění kabeláže pro el pisoáry a umyvadla bez dodávek napájecích zdrojů</t>
  </si>
  <si>
    <t>Elektromontáže silnoproud D+M komplet - pronajímatel</t>
  </si>
  <si>
    <t>Designové svítidlo Lamberts&amp;Fils Dot Line Suspension, provedení Brass/Brass, délka 183 cm - pronajímatel</t>
  </si>
  <si>
    <t>Designové svítidlo, kruhové lineární, svěšené, mosaz, d=1500mm - pronajímatel</t>
  </si>
  <si>
    <t>Svetlo NZ2 - Svítidlo LED nouzové přisazené - corridor - pronajímatel</t>
  </si>
  <si>
    <t>Svetlo NZ5 - Svítidlo LED nouzové přisazené - antipanika - pronajímatel</t>
  </si>
  <si>
    <t>Svetlo NZ8 - Svítidlo LED nouzové vestavné - antipanika - pronajímatel</t>
  </si>
  <si>
    <t>Svetlo NP1 - Svítidlo LED nouzové - piktogram nástěnný - pronajímatel</t>
  </si>
  <si>
    <t>Svetlo NP3 - Svítidlo LED nouzové - piktogram stropní - pronajímatel</t>
  </si>
  <si>
    <t>Lipo80_x000D_
05-500I-15GGE/840, W - pronajímatel</t>
  </si>
  <si>
    <t>Lipo80-S_x000D_
05S-200I-30GGE/840, W - pronajímatel</t>
  </si>
  <si>
    <t>2xkoncovka - kov, 3pól.svorkovnice, průchodka; Lipo80/Lina80_x000D_
Linear accs._x000D_
00-20100, W - pronajímatel</t>
  </si>
  <si>
    <t>vodič 3x0,75 2000mm_x000D_
Linear accs._x000D_
00-00352, K, pronajímatel</t>
  </si>
  <si>
    <t>kalíšek stropní 80x80x32mm_x000D_
Linear accs._x000D_
00-00370, W - pronajímatel</t>
  </si>
  <si>
    <t>lankový závěs 2000mm -1 ks_x000D_
Linear accs._x000D_
00-00300, N - pronajímatel</t>
  </si>
  <si>
    <t>Shift_x000D_
26-200F-10GDE/930, W - pronajímatel</t>
  </si>
  <si>
    <t>Shift_x000D_
26-200W-10GGE/930, W - pronajímatel</t>
  </si>
  <si>
    <t>Lipo80_x000D_
05-500B-25GHE/840, W - pronajímatel</t>
  </si>
  <si>
    <t>vodič 3x0,75 2000mm_x000D_
Linear accs._x000D_
00-00352, K - pronajímatel</t>
  </si>
  <si>
    <t>Lipo80_x000D_
05-500I-40GGE/840, W - pronajímatel</t>
  </si>
  <si>
    <t>Lipo80_x000D_
05-500I-10GGE/840, W - pronajímatel</t>
  </si>
  <si>
    <t>lankový závěs 2000mm -1 ks_x000D_
Linear accs._x000D_
00-00300, N</t>
  </si>
  <si>
    <t>Lipo80_x000D_
05-500I-40GGE/840, W</t>
  </si>
  <si>
    <t>Shift_x000D_
26-200F-10GDE/930, W</t>
  </si>
  <si>
    <t>Shift_x000D_
26-200W-10GGE/930, W</t>
  </si>
  <si>
    <t>Shift_x000D_
26-500W-10GGE/930, W</t>
  </si>
  <si>
    <t>Čidlo pohybu 360°</t>
  </si>
  <si>
    <t>Zásuvka jednonásobná do podlahové krabice, 16A/250V, kompletní, IP20</t>
  </si>
  <si>
    <t>Podlahová krabice 9 modulů</t>
  </si>
  <si>
    <t>Požární ucpávky prostupů instalací zkrz požárně dělící konstrukce, s požární odolností odpovídající odolnosti konstrukce</t>
  </si>
  <si>
    <t>Sádra stavební</t>
  </si>
  <si>
    <t>Vruty , svorky, drobný materiál</t>
  </si>
  <si>
    <t>Pomocné práce a materiál</t>
  </si>
  <si>
    <t>Doprava - doprava všech součástí na staveniště, po staveništi včetně zdvihací techniky</t>
  </si>
  <si>
    <t>Kordinace a součinnost se stav.dozorem</t>
  </si>
  <si>
    <t>Komplexní zkoušky,zkušební provoz</t>
  </si>
  <si>
    <t>Měření intenzity osvětlení</t>
  </si>
  <si>
    <t>Dodavatelská dokumentace, manuály, datové listy, vč. protokolů o továrních zkouškách a zkouškách na místě</t>
  </si>
  <si>
    <t>Výchozí revize elektrického zařízení dle ČSN</t>
  </si>
  <si>
    <t>Nastavení CBS</t>
  </si>
  <si>
    <t>Teoretické a praktické zaškolení obsluhy</t>
  </si>
  <si>
    <t>Zednické práce sekání,průrazy, zazdění drážek a prostupů vč. materiálu</t>
  </si>
  <si>
    <t>Kabel CYKY 750 V 3x2,5 mm2</t>
  </si>
  <si>
    <t>Montáže sdělovací a zabezpečovací techniky, D+M slaboproudých rozv. komplet</t>
  </si>
  <si>
    <t>Datový 19" rozvaděč 800x800mm výška 42U, 2 páry 19" posuvných vertikálních lišt, dveře s pákovým univerzálním zámkem a bezpečnostním sklem (EN 12150-1</t>
  </si>
  <si>
    <t>19" ventilační jednotka, 6 ventilátorů, montáž do horního rámu rozvaděče, teplotní rozpětí -10°C – 55°C, termostat s rozpětím 0°C – 60°C součástí dodá</t>
  </si>
  <si>
    <t>19“ rozvodný panel 1U; 8 x zásuvka podle ČSN, max. 16 A; kabel 3 x 1,5 mm, 2 m + zástrčka univerzál CZ-DE max. 16 A; RAL 9005</t>
  </si>
  <si>
    <t>19" optická vana s výsuvnou policí uzavíratelná klapkami 1U</t>
  </si>
  <si>
    <t>Čelo optické vany 1U pro 16SC simplex/LC duplex/E2000 BK s montážními otvory v2, barva černá</t>
  </si>
  <si>
    <t>Pigtail 9/125 LCapc SM OS 1,5m</t>
  </si>
  <si>
    <t>Adaptér LC SM OS duplex</t>
  </si>
  <si>
    <t>Ochrana sváru Solarix 2.2 x 60mm SXOS-60</t>
  </si>
  <si>
    <t>Optická kazeta pro 24 svárů bez ochran sváru</t>
  </si>
  <si>
    <t>Záslepka SC duplexní do čela optické vany</t>
  </si>
  <si>
    <t>Patch panel Solarix 24 x RJ45 CAT6 UTP s vyvazovací lištou černý 1U</t>
  </si>
  <si>
    <t>Vertikální vyvazovací panel 42U</t>
  </si>
  <si>
    <t>19" vyvazovací panel 1U oboustranný, plast. oka 40x50 mm</t>
  </si>
  <si>
    <t>Datová zásuvka 2xRJ45, Cat 6A, do zdi, včetně instal. krabice, rámečku, meřícího protokolu a příslušenství</t>
  </si>
  <si>
    <t>Datová zásuvka 1xRJ45, Cat 6A, na/do zdi, včetně instal. krabice, rámečku, meřícího protokolu a příslušenství</t>
  </si>
  <si>
    <t>Datová zásuvka 1xRJ45, Cat 6A, do podlahové krabice, včetně meřícího protokolu a příslušenství</t>
  </si>
  <si>
    <t>Datový vývod UTP cat 6A</t>
  </si>
  <si>
    <t>Digitální IP telefon</t>
  </si>
  <si>
    <t>Audio interkom - tablo - komplet, nerez antivandal provedení vč. instalační krabice</t>
  </si>
  <si>
    <t>Konektorování optické sváry, pigtaily vč. Měření</t>
  </si>
  <si>
    <t>Patch kabel optický propojovací</t>
  </si>
  <si>
    <t>Patch kabel UTP  cat.6A-2m-5m</t>
  </si>
  <si>
    <t>Instalační kabel UTP cat. 6A, LSOH</t>
  </si>
  <si>
    <t>Optický kabel single moded 12vl 9/125, LSOH</t>
  </si>
  <si>
    <t>Tlustostěnná mikrotrubička 12/10 , LSOH, pro zafouknutí optického kabelu nájemců vč. značení a vyvázání do žlabů</t>
  </si>
  <si>
    <t>Elektroinstalační trubka ohebná, průměr 20-32mm, vč. spojek, příchytek</t>
  </si>
  <si>
    <t>Elektroinstalační trubka pevná, ptůměr 20-30mm, vč. spojek, kolen, příchytek</t>
  </si>
  <si>
    <t>Kabelová příchytky</t>
  </si>
  <si>
    <t>Kabelová lávka se žlabem 100x45 vč. tvarovek a upevňovacího materiálu</t>
  </si>
  <si>
    <t>Kabelová lávka se žlabem 200x45 vč. tvarovek a upevňovacího materiálu</t>
  </si>
  <si>
    <t>Proměření metalické kabeláže dle zásad ČSN EN 50346, včetně měřícího protokolu digitálně</t>
  </si>
  <si>
    <t>Měření optické kabeláže - vlákno, včetně měřícího protokolu digitálně</t>
  </si>
  <si>
    <t>Zabezpečovací systémy D+M komplet bezpečnostní systémy</t>
  </si>
  <si>
    <t>Zabezpečovací ústřednA GALAXY DIMENSION ,  264 zón,  32 podsystémů  v kovovém kovový boxu s transformátorem</t>
  </si>
  <si>
    <t>Dotyková LCD klávesnice</t>
  </si>
  <si>
    <t>LCD klávesnice</t>
  </si>
  <si>
    <t>Signalizační tablo v krytu 16 LED</t>
  </si>
  <si>
    <t>Koncentrátor 8 zón, 4PGM v krytu plast</t>
  </si>
  <si>
    <t>Modul pro integraci Galaxy do SW nadstaveb</t>
  </si>
  <si>
    <t>Volitelný plug-in modul TCPIP (XPORT) do integračního interface GXYSMART.</t>
  </si>
  <si>
    <t>Magnetický kontakt plastový, polarizovaný, 4 drát</t>
  </si>
  <si>
    <t>Speciální PIR detektor s charakteristikou vertikální záclony</t>
  </si>
  <si>
    <t>Dual PIR senzor + MW senzor, antimasking</t>
  </si>
  <si>
    <t>Dual stropní PIR+ MW s infra-antimaskingem</t>
  </si>
  <si>
    <t>Detektor rozbití skla</t>
  </si>
  <si>
    <t>Krabice se zařezávacími svorkami, pomocnými propojkami a tamper kontaktem</t>
  </si>
  <si>
    <t>Krabice se svorkami, pomocnými propojkami a tamper kontaktem</t>
  </si>
  <si>
    <t>Siréna vnitřní</t>
  </si>
  <si>
    <t>Zdroj posilový 12V/10A  40 Ah</t>
  </si>
  <si>
    <t>Akumulátor 12V/17Ah, bezúdržbový</t>
  </si>
  <si>
    <t>Akumulátor YUASA AKU 12V/38 Ah</t>
  </si>
  <si>
    <t>INTEGRACE Integrační modul</t>
  </si>
  <si>
    <t>Moduly cat.5E do patch panelu</t>
  </si>
  <si>
    <t>E Kabel FTP 4x2x0,55  cat.5E  LSOH sběrrnice</t>
  </si>
  <si>
    <t>P Kabel bezhalegenový, 2x2,5</t>
  </si>
  <si>
    <t>S Kabel FTP 4x2x0,55 LSOH</t>
  </si>
  <si>
    <t>Server ACS</t>
  </si>
  <si>
    <t>4 dveřové jednotky KT400-EU (vcetne boxu a zdroje na 230V a aku)</t>
  </si>
  <si>
    <t>Bezpečnostní software EntraPass</t>
  </si>
  <si>
    <t>Napájecí zálohované zdroje  pro zámky  24V/5A  2xAKU,18Ah</t>
  </si>
  <si>
    <t>Akumulátor 12V/18Ah</t>
  </si>
  <si>
    <t>Čtečka karet HID Signo (úzké)</t>
  </si>
  <si>
    <t>Čtečka karet HID Signo s klávesnicí</t>
  </si>
  <si>
    <t>Nízkoodběrový elektrický OTVÍRAČ speciální pro skleněné dveře bez rámu s mikrospínačem</t>
  </si>
  <si>
    <t>Nízkoodběrový elektrický OTVÍRAČ s mikrospínačem do rámu</t>
  </si>
  <si>
    <t>Montážní lišta pro elektrické otvírače</t>
  </si>
  <si>
    <t>EB-12 Odchodové tlačítko - úzké</t>
  </si>
  <si>
    <t>Elektromechanický samozamykací zámek</t>
  </si>
  <si>
    <t>Bezpečnostní kování klika x klika,  9mm dělený čtyřhran</t>
  </si>
  <si>
    <t>Kabel s konektorem, délka 10m</t>
  </si>
  <si>
    <t>Kabelová průchodka kovová zadlabávací</t>
  </si>
  <si>
    <t>Protiplech pro zámky ABLOY, DIN</t>
  </si>
  <si>
    <t>Nouzové odblokovací tlačítko zelené, dvojtý NC/NO kontakt, povrchová montáž</t>
  </si>
  <si>
    <t>A, B  Kabel FTP 4x2x0,55   bezhalogenový</t>
  </si>
  <si>
    <t>Z  kabel Napájecí 2x1,5  B2ca s1d1a1</t>
  </si>
  <si>
    <t>R Napájecí kabel2x2,5  B2ca s1d1a1</t>
  </si>
  <si>
    <t>Propojovací krabice</t>
  </si>
  <si>
    <t>IP KAMERA (2,8MM) - 2MPIX IP DOME  KAMERA, IR 30M , PoE</t>
  </si>
  <si>
    <t>IP KAMERA (4MM) - 2MPIX IP DOME  KAMERA, IR 30M , PoE</t>
  </si>
  <si>
    <t>Síťový rekordér NVR Exacg Vision  professional</t>
  </si>
  <si>
    <t>WMS Licence pro kamery</t>
  </si>
  <si>
    <t>HDD 6TB</t>
  </si>
  <si>
    <t>K  Kabel UTP 4x2x0,55 LSOH  bezhalogenový cat.5E  batva modrá</t>
  </si>
  <si>
    <t>PoE switch                                                                   24 x GbE PoE RJ-45 portů_x000D_
4 x GbE combo (RJ-45/SFP) porty</t>
  </si>
  <si>
    <t>Rack 600x600 42 U</t>
  </si>
  <si>
    <t>Ventil. jednotka 4poz.,</t>
  </si>
  <si>
    <t>Rozváděcí modul 5x 220V s přepěťovou ochranou 1U</t>
  </si>
  <si>
    <t>PatchPanel modulární pro moduly  RJ45 celokovový 48port/1U s vyvazovací lištou BEZ MODULŮ</t>
  </si>
  <si>
    <t>Moduly cat. 6A do patch panelu</t>
  </si>
  <si>
    <t>Záslepka místo modulu</t>
  </si>
  <si>
    <t>Vyvazovací panel 1U</t>
  </si>
  <si>
    <t>Polička do racku</t>
  </si>
  <si>
    <t>D kabel UTP datový cat.6A</t>
  </si>
  <si>
    <t>Datový patch kabel UTP cat.5e  1m</t>
  </si>
  <si>
    <t>Datový patch kabel UTP cat.6A  2m</t>
  </si>
  <si>
    <t>Zásuvka 2xRJ45 cat.6a nestíněná</t>
  </si>
  <si>
    <t>Konektor RJ45 cat.5E  nestíněný</t>
  </si>
  <si>
    <t>19" optický rozvaděč, 12 portů SC simplex,</t>
  </si>
  <si>
    <t>SC/APC Optický pigtail 09/125</t>
  </si>
  <si>
    <t>Mikrotrubička nehořlavá</t>
  </si>
  <si>
    <t>Optický patch panel SC/ACP-SC/ACP 2m</t>
  </si>
  <si>
    <t>OK Optický mikrokabel SM 12vl.</t>
  </si>
  <si>
    <t>Pracovní stanice PC</t>
  </si>
  <si>
    <t>LCD 24"</t>
  </si>
  <si>
    <t>Switch 10 GB</t>
  </si>
  <si>
    <t>SFP+ optický modul, Cisco kompatibilní</t>
  </si>
  <si>
    <t>UPS 3000VA/3000 W</t>
  </si>
  <si>
    <t>Žlab plný neděrovaný  50/125</t>
  </si>
  <si>
    <t>Žlab plný neděrovaný  50/62</t>
  </si>
  <si>
    <t>Nástřik žlabu na bílo</t>
  </si>
  <si>
    <t>Víko žlabu   50/125</t>
  </si>
  <si>
    <t>Víko žlabu   50/62</t>
  </si>
  <si>
    <t>Trubka PVC ohebnáSUPERMONOFLEX 1225 (25/18,3mm)</t>
  </si>
  <si>
    <t>Trubka PVC ohebnáSUPERMONOFLEX 1232 (25/24,3mm)</t>
  </si>
  <si>
    <t>Příchytka trubky DSA 20-25</t>
  </si>
  <si>
    <t>Příchytka trubky DSA 25-32</t>
  </si>
  <si>
    <t>Požární ucpávky    EI 60´</t>
  </si>
  <si>
    <t>MaR dodávka a montáž, komplet dle rozpisu</t>
  </si>
  <si>
    <t>IRC BOX - Plastová skříň _x000D_
Zdroj pro IRC regulátory_x000D_
kompletní výbava vč. rozjištění, kabeláže, svorek, atd</t>
  </si>
  <si>
    <t>Volně programovatelný regulátor: IRC, FC Bus a SA Bus</t>
  </si>
  <si>
    <t>Multifunkční prostorový ovladač IRC pro řízení teploty, čidlo prostorové teploty, nastavování teploty +/-, komunikace s IRC regulátorem</t>
  </si>
  <si>
    <t>Prostorový snímač koncentrace CO2, komunikace s IRC regulátorem</t>
  </si>
  <si>
    <t>Teplotní snímač prostorový, 0/+40 °C, IP54</t>
  </si>
  <si>
    <t>Dodávka a připojení ventilů radiátorů (ventil s pohonem 24V)</t>
  </si>
  <si>
    <t>Servopohon 10Nm, 24 V, IP54</t>
  </si>
  <si>
    <t>Připojení ventilů chlazení FCU (ventil s pohonem 230V dodávkou chlazení)</t>
  </si>
  <si>
    <t>Připojení ventilů vytápění FCU (ventil s pohonem 230V dodávkou vytápění)</t>
  </si>
  <si>
    <t>Připojení ventilátorů FCU</t>
  </si>
  <si>
    <t>Regulační klapka VAV 24V - dodávka a zabudování dodávkou VZT (MAR jen napájí)</t>
  </si>
  <si>
    <t>Okenní kontakt - připojení</t>
  </si>
  <si>
    <t>Kabel B2cas1d0 1x2x0,8</t>
  </si>
  <si>
    <t>Kabel B2cas1d0 2x2x0,8</t>
  </si>
  <si>
    <t>Kabel 1-CYKY-J 3x1,5mm2</t>
  </si>
  <si>
    <t>Kabel 1-CYKY-J 5x1,5mm2</t>
  </si>
  <si>
    <t>Oceloplechový žlab 62/50mm, galvanizovaný, včetně víka a příslušenství pro montáž ( konzole pro  montáž na stěnu, spojky, nosníky,šrouby, úchyty, závě</t>
  </si>
  <si>
    <t>Instalační trubka PVC, prům 16-32mm, pevná, vč. příchytek a montážního příslušenství</t>
  </si>
  <si>
    <t>Instalační trubka PVC, prům 16-32mm, ohebná, vč. příchytek a montážního příslušenství</t>
  </si>
  <si>
    <t>Ocelové nosné konstrukce</t>
  </si>
  <si>
    <t>Značení koncových zařízení a tras v  trvanlivém systémovém provedení</t>
  </si>
  <si>
    <t>Ukončení veškeré výše uvedené kabeláže, vč. popisků na obou koncích</t>
  </si>
  <si>
    <t>Požární ucpávky</t>
  </si>
  <si>
    <t>Vodotěsné a prachotěsné ucpávky kabelových prostupů</t>
  </si>
  <si>
    <t>Instalační a přístrojové krabice, drobný montážní materiál</t>
  </si>
  <si>
    <t>Montáž, kompletace</t>
  </si>
  <si>
    <t>Stavební přípomocné práce, stavební připravenost</t>
  </si>
  <si>
    <t>Kalibrace čidel, nastavení offsetu, předávací protokoly pro jednotlivá čidla</t>
  </si>
  <si>
    <t>Pomocné ocelové konstrukce</t>
  </si>
  <si>
    <t>Hmoždinky, hřebíky, nástroje, sádra, šrouby, vruty, atd.</t>
  </si>
  <si>
    <t>Drobný nespecifikovaný a montážní materiál</t>
  </si>
  <si>
    <t>Dokumentace pro provedení stavby</t>
  </si>
  <si>
    <t>Dodavatelská a dílenská dokumentace</t>
  </si>
  <si>
    <t>Stavební manažer a stavební dozor</t>
  </si>
  <si>
    <t>Autorský dozor</t>
  </si>
  <si>
    <t>Provozní zkoušky</t>
  </si>
  <si>
    <t>Výchozí revize elektro</t>
  </si>
  <si>
    <t>Software pro DDC a PLC regulátory</t>
  </si>
  <si>
    <t>Manuál řídících algoritmů</t>
  </si>
  <si>
    <t>Zaučení obsluhy</t>
  </si>
  <si>
    <t>Doba výstavby:</t>
  </si>
  <si>
    <t>Začátek výstavby:</t>
  </si>
  <si>
    <t>Konec výstavby:</t>
  </si>
  <si>
    <t>Zpracováno dne:</t>
  </si>
  <si>
    <t>MJ</t>
  </si>
  <si>
    <t>ks</t>
  </si>
  <si>
    <t>m</t>
  </si>
  <si>
    <t>kpl</t>
  </si>
  <si>
    <t>m2</t>
  </si>
  <si>
    <t>kg</t>
  </si>
  <si>
    <t>t</t>
  </si>
  <si>
    <t>soub</t>
  </si>
  <si>
    <t>kus</t>
  </si>
  <si>
    <t>soubor</t>
  </si>
  <si>
    <t>bal</t>
  </si>
  <si>
    <t>bm</t>
  </si>
  <si>
    <t>KPL</t>
  </si>
  <si>
    <t>m/2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</si>
  <si>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</si>
  <si>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</si>
  <si>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</si>
  <si>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</si>
  <si>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</si>
  <si>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</si>
  <si>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</si>
  <si>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</si>
  <si>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</si>
  <si>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</si>
  <si>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Česká advokát. komora, Národní 118/16, Praha 1</t>
  </si>
  <si>
    <t>Sdružení proj. Ateliér 4+MÓD architekti,</t>
  </si>
  <si>
    <t> </t>
  </si>
  <si>
    <t>Ing. Petr FILIP - autor.osoba ČKAIT</t>
  </si>
  <si>
    <t>Montáž</t>
  </si>
  <si>
    <t>Celkem</t>
  </si>
  <si>
    <t>Hmotnost (t)</t>
  </si>
  <si>
    <t>Jednot.</t>
  </si>
  <si>
    <t>Cenová</t>
  </si>
  <si>
    <t>soustava</t>
  </si>
  <si>
    <t>RTS I / 2022</t>
  </si>
  <si>
    <t>RTS 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</si>
  <si>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</si>
  <si>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</si>
  <si>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</si>
  <si>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</si>
  <si>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</si>
  <si>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</si>
  <si>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</si>
  <si>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</si>
  <si>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</si>
  <si>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22233_</t>
  </si>
  <si>
    <t>34_</t>
  </si>
  <si>
    <t>41_</t>
  </si>
  <si>
    <t>61_</t>
  </si>
  <si>
    <t>713_</t>
  </si>
  <si>
    <t>714_</t>
  </si>
  <si>
    <t>721_</t>
  </si>
  <si>
    <t>7221_</t>
  </si>
  <si>
    <t>725_</t>
  </si>
  <si>
    <t>726_</t>
  </si>
  <si>
    <t>728_</t>
  </si>
  <si>
    <t>731_</t>
  </si>
  <si>
    <t>732_</t>
  </si>
  <si>
    <t>7321_</t>
  </si>
  <si>
    <t>766_</t>
  </si>
  <si>
    <t>7667_</t>
  </si>
  <si>
    <t>7669_</t>
  </si>
  <si>
    <t>767_</t>
  </si>
  <si>
    <t>771_</t>
  </si>
  <si>
    <t>776_</t>
  </si>
  <si>
    <t>781_</t>
  </si>
  <si>
    <t>783_</t>
  </si>
  <si>
    <t>784_</t>
  </si>
  <si>
    <t>788_</t>
  </si>
  <si>
    <t>789_</t>
  </si>
  <si>
    <t>94_</t>
  </si>
  <si>
    <t>H01_</t>
  </si>
  <si>
    <t>H714_</t>
  </si>
  <si>
    <t>H72_</t>
  </si>
  <si>
    <t>H721_</t>
  </si>
  <si>
    <t>H722_</t>
  </si>
  <si>
    <t>H725_</t>
  </si>
  <si>
    <t>H726_</t>
  </si>
  <si>
    <t>H731_</t>
  </si>
  <si>
    <t>H732_</t>
  </si>
  <si>
    <t>H766_</t>
  </si>
  <si>
    <t>H767_</t>
  </si>
  <si>
    <t>H771_</t>
  </si>
  <si>
    <t>H775_</t>
  </si>
  <si>
    <t>H781_</t>
  </si>
  <si>
    <t>H99_</t>
  </si>
  <si>
    <t>M_</t>
  </si>
  <si>
    <t>M211_</t>
  </si>
  <si>
    <t>M212_</t>
  </si>
  <si>
    <t>M22_</t>
  </si>
  <si>
    <t>M22071_</t>
  </si>
  <si>
    <t>M22089_</t>
  </si>
  <si>
    <t>2_</t>
  </si>
  <si>
    <t>3_</t>
  </si>
  <si>
    <t>4_</t>
  </si>
  <si>
    <t>6_</t>
  </si>
  <si>
    <t>71_</t>
  </si>
  <si>
    <t>72_</t>
  </si>
  <si>
    <t>73_</t>
  </si>
  <si>
    <t>76_</t>
  </si>
  <si>
    <t>77_</t>
  </si>
  <si>
    <t>78_</t>
  </si>
  <si>
    <t>9_</t>
  </si>
  <si>
    <t>_</t>
  </si>
  <si>
    <t>SO1_</t>
  </si>
  <si>
    <t>MAT</t>
  </si>
  <si>
    <t>WORK</t>
  </si>
  <si>
    <t>CELK</t>
  </si>
  <si>
    <t>ISWORK</t>
  </si>
  <si>
    <t>P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</si>
  <si>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</si>
  <si>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</si>
  <si>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</si>
  <si>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</si>
  <si>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</si>
  <si>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</si>
  <si>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</si>
  <si>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</si>
  <si>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;3.np;3,63*(5,255+5,255+3,235+3,65+5,59+1,405+0,6)</t>
  </si>
  <si>
    <t>;1.np;4,3*(0,89+0,8+1,5+0,97+1,29+0,25+1,165+0,905+1,335)-0,8*2,1-0,9*2</t>
  </si>
  <si>
    <t>;3.np B;3,7*(3,025+1,81+1,55+1,855+0,555+2,52+0,535+1,2+0,9+0,87+1,165)-1,165*2,1</t>
  </si>
  <si>
    <t>;3.np příp;1,075*2*3,61</t>
  </si>
  <si>
    <t>;3.np;3,26*(1,25+1,97+1,205+0,8+0,7)+3,7*(0,1+0,96+1,665+0,96)-0,7*2,1*3-0,9*2,09-0,86*1,95</t>
  </si>
  <si>
    <t>;2.np;3,64*(1,05*2+0,1+1,55+1,65+0,15+1,65+0,25+3,32+0,2+1,25+1,9)-0,7*2,1*4-0,9*2,1</t>
  </si>
  <si>
    <t>;2.np 2.02;3,66*(1,05+0,995)-0,7*2,1</t>
  </si>
  <si>
    <t>;1.np;4,3*(1,6*2+2,65+1,01*2+1,015+0,1*2+0,5+1,99+2,305+0,755+0,83+0,8+1,025+0,055+0,61+0,1+0,29)</t>
  </si>
  <si>
    <t>-0,7*2,1*5-0,8*2,1-0,9*2,1</t>
  </si>
  <si>
    <t>;3.np B;3,63*(3,61+3,52+0,1+2,085+1,995+0,455+1,1+0,9*2+2,47+1,55*2+2,81)-0,7*2,1*5-0,9*2,1</t>
  </si>
  <si>
    <t>;3.np B 3.21;3,63*(0,67+1+2+1,7+0,1+0,665+0,65+1,06+1,12+0,2+1,305+0,1+1,29+1,25)-0,9*2,1-0,7*2,1*2</t>
  </si>
  <si>
    <t>;3.np odpoč. imobil.WC;-3,61*(1,405+0,6)</t>
  </si>
  <si>
    <t>;odpočet do podhledů 3.np;-0,53*(1,06+1,12+0,075+0,125+1,25+1,29+1,305+0,1)</t>
  </si>
  <si>
    <t>-1,23*(3,61-0,705-0,16+1,55*2)</t>
  </si>
  <si>
    <t>-0,9*(1,25+1,97+1,205+0,8+0,9)</t>
  </si>
  <si>
    <t>;odpočet 2.np do podhl;-1,2*(1,05*2+0,1+1,55)-0,9*(1,65+0,15+1,65)-0,5*(0,995+1)</t>
  </si>
  <si>
    <t>;odpočet 1.np;-1,57*1,6*2-0,87*1,6-1,57*(0,755+0,83+0,8+1,025)</t>
  </si>
  <si>
    <t>;3.np;3,61*6,38</t>
  </si>
  <si>
    <t>;2.np;3,31*(3,79+1,145)+3,66*0,515</t>
  </si>
  <si>
    <t>;3.np;3,7*(1,2+0,485+1,295)</t>
  </si>
  <si>
    <t>;1.np;4,3*3,245</t>
  </si>
  <si>
    <t>;3.np;0,15*(5,255*2+3,235+3,65+0,1+0,96+1,655+0,96+0,075+5,59+1,89+0,6+1,125)</t>
  </si>
  <si>
    <t>;2.np;0,15*(2,3+0,88+2,425+1,66+1,9+3,22+0,1+0,945+0,3+1,65+0,15+1,2+1,67+1,9+0,3+3,79+1,5+1,78)</t>
  </si>
  <si>
    <t>;1.np;0,15*(2,06+2,035+0,6+1,67+2,89+1,05+0,1+1,775)</t>
  </si>
  <si>
    <t>;3.np B;0,15*(3,025+3,92+0,25-1+3,61+3,52+2,085+1,2+0,9+2,57+1,91+1,55+0,555+1,855+0,67+1+2+1,7+0,1)</t>
  </si>
  <si>
    <t>0,15*(0,655+0,655+3,66)</t>
  </si>
  <si>
    <t>;3.np;0,15*6,38</t>
  </si>
  <si>
    <t>;2.np;0,15*(0,515+1,795+0,1+1,55+0,3+0,45+0,3+1,55+0,1+0,97+0,3+0,675+1,145+1,835+0,15+0,205+1,6)</t>
  </si>
  <si>
    <t>0,15*(0,3+2,755+1,3+1,178+0,146)</t>
  </si>
  <si>
    <t>;1.np;0,15*(1,235+1,01*2+1,015+0,3+2,3+0,9+2,42)</t>
  </si>
  <si>
    <t>;3.np B;0,15*2,615</t>
  </si>
  <si>
    <t>0,15*(1,1+0,485+1,295)</t>
  </si>
  <si>
    <t>;2.np;0,15*(2,2+1,15+1,15)</t>
  </si>
  <si>
    <t>;1.np;0,15*3,245</t>
  </si>
  <si>
    <t>;3.np;3,26*(0,48*2+0,655+1,85+0,94+0,7+0,94)</t>
  </si>
  <si>
    <t>;2.np;3,66*(1,05+1,15+1,65+0,15+1,65)</t>
  </si>
  <si>
    <t>;1.np;(1,125+1,125+1,175+0,1+1,05+2,06*2)*4,3</t>
  </si>
  <si>
    <t>;3.np B;3,63*(1,55+0,7+1,7+2,2+0,9+3,66+1,305+0,1+1,325+3,6+1,7)</t>
  </si>
  <si>
    <t>;3.np odpoč.WC;-2,33*3,65-2,005*3,61</t>
  </si>
  <si>
    <t>;odpočet SV240cm;-1,6*(1,6+1,8+1,755)-0,68*(1,305+1,29+0,9+3,66+1,55)-0,9*(1,7+0,705)-1,2*(0,7+0,94)</t>
  </si>
  <si>
    <t>-1,2*0,7-0,9*1,85</t>
  </si>
  <si>
    <t>;3.np;3,6*(0,9+0,92+0,1+2,88)</t>
  </si>
  <si>
    <t>;2.np;3,66*(1,78+0,95+0,945+0,3+1,05+0,1+1,05)</t>
  </si>
  <si>
    <t>;1.np;4,3*(1,235+1,01*2+1,015+0,3+0,125+2,765)</t>
  </si>
  <si>
    <t>;3.np B;3,63*(0,9*3+0,1*3)</t>
  </si>
  <si>
    <t>;3.np odpoč. WC;-3,61*2,795</t>
  </si>
  <si>
    <t>;odpočet SV;-1,2*(0,92+0,92+1*3)-0,6*(1,78+0,95+1,15+1,05)-1,6*(1,235+1,11+1,11)</t>
  </si>
  <si>
    <t>;2.np;3,66*(2,8+2,97)</t>
  </si>
  <si>
    <t>;3.np,3.07;3,63*(2,5+0,355+0,7+1,86)</t>
  </si>
  <si>
    <t>;3.np;3,28*(14,76+5,28*2+1,635+5,545)+3,03*(1,03+1,45+4,86+0,845)</t>
  </si>
  <si>
    <t>;2.np;3,3*(11,015+4,99+4,98+6,615)</t>
  </si>
  <si>
    <t>;3.npB;3,3*(6,255+5,005+6,85+6,75+5,83+4,715)</t>
  </si>
  <si>
    <t>;3.np;3,03*(5,4+1,54+1,75+3,05+1,45+5,375)</t>
  </si>
  <si>
    <t>;2.np;3*(1,55+20,31+1,54)</t>
  </si>
  <si>
    <t>;1.np;3,7*7,545</t>
  </si>
  <si>
    <t>;3.npB;3*(1,555+13,825+1,54+2)</t>
  </si>
  <si>
    <t>;3.np;0,35*(14,76+5,28*2+1,635)+0,6*(5,545+5,375+1,45+3,005+1,75+1,45+5,4+0,845+4,86+1,45+1,03)</t>
  </si>
  <si>
    <t>;2.np;0,66*(0,275+1,54+20,31+1,55)+0,36*(11,015+4,98*2+6,615)</t>
  </si>
  <si>
    <t>;1.np;7,545*0,56</t>
  </si>
  <si>
    <t>;3.np B;0,35*(6,255+5,005+6,85+5,83+4,715)</t>
  </si>
  <si>
    <t>0,6*(1,555+13,825+1,45+2)</t>
  </si>
  <si>
    <t>;2.np;3,64*(2,3+0,88+2,425+1,66)-0,8*2,1</t>
  </si>
  <si>
    <t>;1.np;4,3*(1,67+2,89)-0,8*2,1</t>
  </si>
  <si>
    <t>;2.np;3,65*(1,795+1,55+0,1+0,45+0,3+0,3+1,55+0,1+0,97+0,15+3,05+0,945)-0,9*2,05</t>
  </si>
  <si>
    <t>;2.np 2.02,03;3,66*(1,835+0,15+0,205+1,1+2,755+1,5+0,126+0,16+1,01)-0,9*2,1*2</t>
  </si>
  <si>
    <t>;1.np;4,3*(1,99+0,2+2+2,42+0,9)-0,8*1,97-0,9*2,1</t>
  </si>
  <si>
    <t>;3.np B;3,1*2,615</t>
  </si>
  <si>
    <t>8*0,001*(5+2)*4,3+8*0,001*7*3,65+4*3,7*8*0,001+4*3,36*8*0,001</t>
  </si>
  <si>
    <t>;ztratné 10%; 0,067112</t>
  </si>
  <si>
    <t>;3.np B;5,28+10,87+1,71+1,73+2,3+6,43+1,39+1,39+1,39</t>
  </si>
  <si>
    <t>;3.np A;5,84+4,2+1,23+1,22+4,99+1,93</t>
  </si>
  <si>
    <t>;1.np;7,96+1,88+1,84+1,62+1,62+3,29+3,72</t>
  </si>
  <si>
    <t>;2.np;6,33+1,5+7,08+3,98+1,63+1,63+9,73+1,56+1,63</t>
  </si>
  <si>
    <t>;stropy odhad;300</t>
  </si>
  <si>
    <t>4,3*(0,595+0,7+1,1+0,7+0,575+1,165)-0,9*2</t>
  </si>
  <si>
    <t>18,9905-1,8</t>
  </si>
  <si>
    <t>11,41+34,96</t>
  </si>
  <si>
    <t>189,2</t>
  </si>
  <si>
    <t>82,3</t>
  </si>
  <si>
    <t>67,5</t>
  </si>
  <si>
    <t>39,4</t>
  </si>
  <si>
    <t>45,8</t>
  </si>
  <si>
    <t>53,8</t>
  </si>
  <si>
    <t>86,3</t>
  </si>
  <si>
    <t>84,8</t>
  </si>
  <si>
    <t>;1.np;0,3*(5,66+7,51)</t>
  </si>
  <si>
    <t>;2.np;0,3*(23,55+6,34+6,62+10,88+4,84+4,85)</t>
  </si>
  <si>
    <t>;3.np A;0,3*(5,55+1,6+9,84+8,62+14,76+5,11+5,14+0,78+8,16)</t>
  </si>
  <si>
    <t>;3.np B;0,3*(4,71+5,83+18,79+5,79+5,98+6,79+6,65+6,11+4,65)</t>
  </si>
  <si>
    <t>0,3*(5,66+7,51)</t>
  </si>
  <si>
    <t>;ztratné 10%; 0,3951</t>
  </si>
  <si>
    <t>54,2</t>
  </si>
  <si>
    <t>;ztratné 10%; 5,42</t>
  </si>
  <si>
    <t>10+1</t>
  </si>
  <si>
    <t>18+1</t>
  </si>
  <si>
    <t>;1.np;5,555*4,01</t>
  </si>
  <si>
    <t>;3.np;5,555*3,3*2</t>
  </si>
  <si>
    <t>;2.np;5,75*3,3</t>
  </si>
  <si>
    <t>0</t>
  </si>
  <si>
    <t>;3.np;343,38</t>
  </si>
  <si>
    <t>;3.np B;432,24</t>
  </si>
  <si>
    <t>;2.np;455,31</t>
  </si>
  <si>
    <t>;1.np;228,64</t>
  </si>
  <si>
    <t>1+1</t>
  </si>
  <si>
    <t>8+5+1+13+4+19+3+26+16+2</t>
  </si>
  <si>
    <t>5+1</t>
  </si>
  <si>
    <t>7+10+9</t>
  </si>
  <si>
    <t>144,53</t>
  </si>
  <si>
    <t>;3.np;4,2+1,23+1,22+4,99+1,93</t>
  </si>
  <si>
    <t>;1.np;7,96+1,88+11,31+1,84+1,62+1,62+3,29+3,72</t>
  </si>
  <si>
    <t>114,37</t>
  </si>
  <si>
    <t>;ztratné 15%; 17,1555</t>
  </si>
  <si>
    <t>;3.np;11,1+31,13+13,04+24,13+16,37+34,4+23,04+21,29+24,37</t>
  </si>
  <si>
    <t>;3.np B;15,07+33,27+30,33+15,39+15,57+28,91</t>
  </si>
  <si>
    <t>;2.np;27,7+16,25+18,1+25,1</t>
  </si>
  <si>
    <t>;3.np;64,81+48,91+10,7</t>
  </si>
  <si>
    <t>;3.np B;76,95+26,36+28,2+38,87+53,77+6,42+30,64</t>
  </si>
  <si>
    <t>;2.np;93,68+56,42+43,33+52,59+50,4+6,93+30,17</t>
  </si>
  <si>
    <t>;1.np;34,81+7,6+144,53+4,93+3,53</t>
  </si>
  <si>
    <t>;Z01;10,3</t>
  </si>
  <si>
    <t>;Z02;9,8</t>
  </si>
  <si>
    <t>915,23</t>
  </si>
  <si>
    <t>;ztratné 8%; 73,2184</t>
  </si>
  <si>
    <t>92,5+5,4+2,6+2,1</t>
  </si>
  <si>
    <t>16+12,4+12,4</t>
  </si>
  <si>
    <t>;1.np rel;4,3*3,035-0,75*2,1*2+4,3*0,9</t>
  </si>
  <si>
    <t>;1.np obyč;2,4*(1,6*4+1,01*2+1,81*2+1,015+1,245*2+2,65*2+1,99*2+2*2)-0,75*2,1*2+3,63</t>
  </si>
  <si>
    <t>;1.np m rel.;2,4*(1,835+1,785+2,96+1+0,9+1,1+3)</t>
  </si>
  <si>
    <t>;1.np m ob;2,4*(0,41+1,125+1,61+1,125)</t>
  </si>
  <si>
    <t>;2.np a 3.np rel;9,4+27,2+5,9+4,6+16,7</t>
  </si>
  <si>
    <t>;2. a 3.np obyč;49,6+81,7+64,7+65,6+63,3</t>
  </si>
  <si>
    <t>1,74</t>
  </si>
  <si>
    <t>401,18</t>
  </si>
  <si>
    <t>;ztratné 15%; 60,177</t>
  </si>
  <si>
    <t>120,33</t>
  </si>
  <si>
    <t>;ztratné 15%; 18,0495</t>
  </si>
  <si>
    <t>2,4*(38+33+21+27+22+6+25+33)</t>
  </si>
  <si>
    <t>2,4*4+3*2+1,5*4+3+1*4+1*2+3*2+2,4+2,4*3+1,5*2+2,7+3</t>
  </si>
  <si>
    <t>4,3+2,4</t>
  </si>
  <si>
    <t>1594,63155</t>
  </si>
  <si>
    <t>;př.3.np;3,63*(1,755+0,67+1+2+1,7+0,1+0,665+4,025+4,5+0,6*4)</t>
  </si>
  <si>
    <t>3,63*(4,715+3,32+3,32+3,3+1,775+4+4+1,755+3,25+3,025+6,255+3,025+0,87*2+1,1*2+0,9*2+3,025+3,3+3,025)</t>
  </si>
  <si>
    <t>;3.28;3,63*(2,085*2+3,52*2)</t>
  </si>
  <si>
    <t>;3.30,31,32,33;3,63*(2,85+0,6+0,6+1,845+5,05+3,92*2+6,85+3,125+3,08)</t>
  </si>
  <si>
    <t>;3.npA 3.02,06,07,08;3,63*(1,02*4+9,5*2+9+2*3,7+2,88+3,195+3,65*2+1,5+6,915*2+3,235*2)</t>
  </si>
  <si>
    <t>;3.09,10,11,12;3,63*(5,255+2,485+4,625+3,12+5,255*3+6+2,255)</t>
  </si>
  <si>
    <t>;3.13,14,15;3,63*(3,735+5,59*2+0,6*4+3,9+3,5)</t>
  </si>
  <si>
    <t>;2.np stěny, 2.11-2.15;3,65*(11,015+4+4+5,025+4,365+3,475+3,13+3,5*2)</t>
  </si>
  <si>
    <t>;2.07,06;3,63*(2,25+0,88+2,425+1,85+2,25+1,71+0,725+0,6*3+3,005+2,55+3,005+3,32+0,6*2+21+5,5+2,755)</t>
  </si>
  <si>
    <t>;2.01;3,63*2,97*2</t>
  </si>
  <si>
    <t>;1.np 1.01,04;3,93*(2,65+0,5+3+2,035+7,545+0,65+2,06*2+3,3*2)</t>
  </si>
  <si>
    <t>;1.06,07;3,95*(2,21*2+2,71*2+1,67*4)</t>
  </si>
  <si>
    <t>14+1</t>
  </si>
  <si>
    <t>5+5+6,9+8,3+9,5+11,5</t>
  </si>
  <si>
    <t>5+2</t>
  </si>
  <si>
    <t>7,7+16+7,5+6,9+8,3+9,5+19</t>
  </si>
  <si>
    <t>;podhledy SDK;108</t>
  </si>
  <si>
    <t>;ostatní podhledy;950</t>
  </si>
  <si>
    <t>62,572+1,2317+0,3813+1,6716</t>
  </si>
  <si>
    <t>13,5664</t>
  </si>
  <si>
    <t>4,5</t>
  </si>
  <si>
    <t>2,522</t>
  </si>
  <si>
    <t>3,5355</t>
  </si>
  <si>
    <t>1,3695</t>
  </si>
  <si>
    <t>0,2594</t>
  </si>
  <si>
    <t>2,8</t>
  </si>
  <si>
    <t>1,7</t>
  </si>
  <si>
    <t>2,5128+1,6831+5+15</t>
  </si>
  <si>
    <t>42,2511</t>
  </si>
  <si>
    <t>6,8183</t>
  </si>
  <si>
    <t>4,1025</t>
  </si>
  <si>
    <t>11,6769</t>
  </si>
  <si>
    <t>2480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</si>
  <si>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</si>
  <si>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</si>
  <si>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</si>
  <si>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</si>
  <si>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</si>
  <si>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</si>
  <si>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</si>
  <si>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</si>
  <si>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</si>
  <si>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</si>
  <si>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</si>
  <si>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</si>
  <si>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</si>
  <si>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</si>
  <si>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</si>
  <si>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</si>
  <si>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</si>
  <si>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</si>
  <si>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</si>
  <si>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</si>
  <si>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</si>
  <si>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</si>
  <si>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</si>
  <si>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</si>
  <si>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</si>
  <si>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</si>
  <si>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</si>
  <si>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</si>
  <si>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</si>
  <si>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</si>
  <si>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</si>
  <si>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</si>
  <si>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</si>
  <si>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</si>
  <si>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</si>
  <si>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</si>
  <si>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</si>
  <si>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</si>
  <si>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</si>
  <si>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</si>
  <si>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</si>
  <si>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</si>
  <si>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</si>
  <si>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</si>
  <si>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66000777/</t>
  </si>
  <si>
    <t>D+M Audiovizuální technika - vybavení auly, zasedacích místností a kinosálu (display, příprava pro video-konferenci, ozvučení, příhledové monitory, moder.stoly)</t>
  </si>
  <si>
    <t>688b</t>
  </si>
  <si>
    <t>690b</t>
  </si>
  <si>
    <t>Rozvaděč R_N1.4 - viz schéma rozvaděče a kabelová listina - nájemce 86,26%</t>
  </si>
  <si>
    <t>Rozvaděč R_N2.3 - viz schéma rozvaděče a kabelová listina - nájemce 85,92%</t>
  </si>
  <si>
    <t>Rozvaděč R_N2.4 - viz schéma rozvaděče a kabelová listina - nájemce 82,77%</t>
  </si>
  <si>
    <t>Rozvaděč R_N3.1 - viz schéma rozvaděče a kabelová listina - nájemce 86,35%</t>
  </si>
  <si>
    <t>Rozvaděč R_N3.3 - viz schéma rozvaděče a kabelová listina - nájemce 85,06%</t>
  </si>
  <si>
    <t>Rozvaděč R_N3.4 - viz schéma rozvaděče a kabelová listina - nájemce 82,10%</t>
  </si>
  <si>
    <t>Rozvaděč R_N1.4 - viz schéma rozvaděče a kabelová listina - nájemce 13,74%</t>
  </si>
  <si>
    <t>Rozvaděč R_N2.3 - viz schéma rozvaděče a kabelová listina - nájemce 14,08%</t>
  </si>
  <si>
    <t>Rozvaděč R_N2.4 - viz schéma rozvaděče a kabelová listina - nájemce 17,23%</t>
  </si>
  <si>
    <t>Rozvaděč R_N3.1 - viz schéma rozvaděče a kabelová listina - nájemce 13,65%</t>
  </si>
  <si>
    <t>Rozvaděč R_N3.3 - viz schéma rozvaděče a kabelová listina - nájemce 14,94%</t>
  </si>
  <si>
    <t>Rozvaděč R_N3.4 - viz schéma rozvaděče a kabelová listina - nájemce 17,90%</t>
  </si>
  <si>
    <t>Nábytek repasovaný NOBL (není součástí VŘ)</t>
  </si>
  <si>
    <t>Krycí list nabídky</t>
  </si>
  <si>
    <t>4. 11. 2022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</si>
</sst>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9"/>
      <color indexed="63"/>
      <name val="Arial"/>
      <family val="2"/>
      <charset val="238"/>
    </font>
    <font>
      <i/>
      <sz val="9"/>
      <color indexed="50"/>
      <name val="Arial"/>
      <family val="2"/>
      <charset val="238"/>
    </font>
    <font>
      <i/>
      <sz val="9"/>
      <color indexed="61"/>
      <name val="Arial"/>
      <family val="2"/>
      <charset val="238"/>
    </font>
    <font>
      <i/>
      <sz val="9"/>
      <color indexed="62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</font>
    <font>
      <sz val="10"/>
      <color indexed="61"/>
      <name val="Arial"/>
      <family val="2"/>
      <charset val="238"/>
    </font>
    <font>
      <sz val="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right"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8" fillId="2" borderId="18" xfId="0" applyNumberFormat="1" applyFont="1" applyFill="1" applyBorder="1" applyAlignment="1" applyProtection="1">
      <alignment horizontal="right" vertical="center"/>
    </xf>
    <xf numFmtId="49" fontId="5" fillId="0" borderId="19" xfId="0" applyNumberFormat="1" applyFont="1" applyFill="1" applyBorder="1" applyAlignment="1" applyProtection="1">
      <alignment horizontal="right" vertical="center"/>
    </xf>
    <xf numFmtId="49" fontId="8" fillId="2" borderId="19" xfId="0" applyNumberFormat="1" applyFont="1" applyFill="1" applyBorder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right" vertical="center"/>
    </xf>
    <xf numFmtId="49" fontId="5" fillId="0" borderId="20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21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8" fillId="2" borderId="9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9" fontId="3" fillId="0" borderId="22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18" xfId="0" applyNumberFormat="1" applyFont="1" applyFill="1" applyBorder="1" applyAlignment="1" applyProtection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/>
    </xf>
    <xf numFmtId="4" fontId="1" fillId="0" borderId="20" xfId="0" applyNumberFormat="1" applyFont="1" applyFill="1" applyBorder="1" applyAlignment="1" applyProtection="1">
      <alignment horizontal="right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49" fontId="8" fillId="2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49" fontId="3" fillId="0" borderId="25" xfId="0" applyNumberFormat="1" applyFont="1" applyFill="1" applyBorder="1" applyAlignment="1" applyProtection="1">
      <alignment horizontal="left" vertical="center"/>
    </xf>
    <xf numFmtId="4" fontId="5" fillId="0" borderId="19" xfId="0" applyNumberFormat="1" applyFont="1" applyFill="1" applyBorder="1" applyAlignment="1" applyProtection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</xf>
    <xf numFmtId="4" fontId="5" fillId="0" borderId="20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</xf>
    <xf numFmtId="49" fontId="14" fillId="3" borderId="26" xfId="0" applyNumberFormat="1" applyFont="1" applyFill="1" applyBorder="1" applyAlignment="1" applyProtection="1">
      <alignment horizontal="center" vertical="center"/>
    </xf>
    <xf numFmtId="49" fontId="15" fillId="0" borderId="27" xfId="0" applyNumberFormat="1" applyFont="1" applyFill="1" applyBorder="1" applyAlignment="1" applyProtection="1">
      <alignment horizontal="left" vertical="center"/>
    </xf>
    <xf numFmtId="49" fontId="15" fillId="0" borderId="28" xfId="0" applyNumberFormat="1" applyFont="1" applyFill="1" applyBorder="1" applyAlignment="1" applyProtection="1">
      <alignment horizontal="left" vertical="center"/>
    </xf>
    <xf numFmtId="0" fontId="1" fillId="0" borderId="29" xfId="0" applyNumberFormat="1" applyFont="1" applyFill="1" applyBorder="1" applyAlignment="1" applyProtection="1">
      <alignment vertical="center"/>
    </xf>
    <xf numFmtId="49" fontId="7" fillId="0" borderId="9" xfId="0" applyNumberFormat="1" applyFont="1" applyFill="1" applyBorder="1" applyAlignment="1" applyProtection="1">
      <alignment horizontal="left" vertical="center"/>
    </xf>
    <xf numFmtId="49" fontId="16" fillId="0" borderId="26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30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" fontId="16" fillId="0" borderId="26" xfId="0" applyNumberFormat="1" applyFont="1" applyFill="1" applyBorder="1" applyAlignment="1" applyProtection="1">
      <alignment horizontal="right" vertical="center"/>
    </xf>
    <xf numFmtId="49" fontId="16" fillId="0" borderId="26" xfId="0" applyNumberFormat="1" applyFont="1" applyFill="1" applyBorder="1" applyAlignment="1" applyProtection="1">
      <alignment horizontal="right" vertical="center"/>
    </xf>
    <xf numFmtId="4" fontId="16" fillId="0" borderId="14" xfId="0" applyNumberFormat="1" applyFont="1" applyFill="1" applyBorder="1" applyAlignment="1" applyProtection="1">
      <alignment horizontal="right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4" fontId="15" fillId="3" borderId="31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/>
    <xf numFmtId="49" fontId="19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" fillId="0" borderId="36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3" fillId="0" borderId="39" xfId="0" applyNumberFormat="1" applyFont="1" applyFill="1" applyBorder="1" applyAlignment="1" applyProtection="1">
      <alignment horizontal="left" vertical="center"/>
    </xf>
    <xf numFmtId="0" fontId="3" fillId="0" borderId="4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 wrapText="1"/>
    </xf>
    <xf numFmtId="49" fontId="16" fillId="0" borderId="21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45" xfId="0" applyNumberFormat="1" applyFont="1" applyFill="1" applyBorder="1" applyAlignment="1" applyProtection="1">
      <alignment horizontal="left" vertical="center"/>
    </xf>
    <xf numFmtId="49" fontId="16" fillId="0" borderId="46" xfId="0" applyNumberFormat="1" applyFont="1" applyFill="1" applyBorder="1" applyAlignment="1" applyProtection="1">
      <alignment horizontal="left" vertical="center"/>
    </xf>
    <xf numFmtId="0" fontId="16" fillId="0" borderId="34" xfId="0" applyNumberFormat="1" applyFont="1" applyFill="1" applyBorder="1" applyAlignment="1" applyProtection="1">
      <alignment horizontal="left" vertical="center"/>
    </xf>
    <xf numFmtId="0" fontId="16" fillId="0" borderId="47" xfId="0" applyNumberFormat="1" applyFont="1" applyFill="1" applyBorder="1" applyAlignment="1" applyProtection="1">
      <alignment horizontal="left" vertical="center"/>
    </xf>
    <xf numFmtId="49" fontId="15" fillId="3" borderId="42" xfId="0" applyNumberFormat="1" applyFont="1" applyFill="1" applyBorder="1" applyAlignment="1" applyProtection="1">
      <alignment horizontal="left" vertical="center"/>
    </xf>
    <xf numFmtId="0" fontId="15" fillId="3" borderId="41" xfId="0" applyNumberFormat="1" applyFont="1" applyFill="1" applyBorder="1" applyAlignment="1" applyProtection="1">
      <alignment horizontal="left" vertical="center"/>
    </xf>
    <xf numFmtId="49" fontId="16" fillId="0" borderId="4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left" vertical="center"/>
    </xf>
    <xf numFmtId="0" fontId="16" fillId="0" borderId="44" xfId="0" applyNumberFormat="1" applyFont="1" applyFill="1" applyBorder="1" applyAlignment="1" applyProtection="1">
      <alignment horizontal="left" vertical="center"/>
    </xf>
    <xf numFmtId="49" fontId="15" fillId="0" borderId="42" xfId="0" applyNumberFormat="1" applyFont="1" applyFill="1" applyBorder="1" applyAlignment="1" applyProtection="1">
      <alignment horizontal="left" vertical="center"/>
    </xf>
    <xf numFmtId="0" fontId="15" fillId="0" borderId="31" xfId="0" applyNumberFormat="1" applyFont="1" applyFill="1" applyBorder="1" applyAlignment="1" applyProtection="1">
      <alignment horizontal="left" vertical="center"/>
    </xf>
    <xf numFmtId="49" fontId="16" fillId="0" borderId="42" xfId="0" applyNumberFormat="1" applyFont="1" applyFill="1" applyBorder="1" applyAlignment="1" applyProtection="1">
      <alignment horizontal="left" vertical="center"/>
    </xf>
    <xf numFmtId="0" fontId="16" fillId="0" borderId="31" xfId="0" applyNumberFormat="1" applyFont="1" applyFill="1" applyBorder="1" applyAlignment="1" applyProtection="1">
      <alignment horizontal="left" vertical="center"/>
    </xf>
    <xf numFmtId="49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49" fontId="17" fillId="0" borderId="42" xfId="0" applyNumberFormat="1" applyFont="1" applyFill="1" applyBorder="1" applyAlignment="1" applyProtection="1">
      <alignment horizontal="left" vertical="center"/>
    </xf>
    <xf numFmtId="0" fontId="17" fillId="0" borderId="31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49" fontId="1" fillId="0" borderId="30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49"/>
  <sheetViews>
    <sheetView tabSelected="1" workbookViewId="0">
      <pane ySplit="11" topLeftCell="A1031" activePane="bottomLeft" state="frozenSplit"/>
      <selection pane="bottomLeft" activeCell="E1056" sqref="E1056"/>
    </sheetView>
  </sheetViews>
  <sheetFormatPr defaultColWidth="11.53515625" defaultRowHeight="12.45" x14ac:dyDescent="0.3"/>
  <cols>
    <col min="1" max="1" width="4.53515625" customWidth="1"/>
    <col min="2" max="2" width="7.53515625" customWidth="1"/>
    <col min="3" max="3" width="14.3046875" customWidth="1"/>
    <col min="4" max="4" width="1.3828125" customWidth="1"/>
    <col min="5" max="5" width="132.53515625" customWidth="1"/>
    <col min="6" max="6" width="6.3828125" customWidth="1"/>
    <col min="7" max="7" width="12.84375" customWidth="1"/>
    <col min="8" max="8" width="12" customWidth="1"/>
    <col min="9" max="11" width="14.3046875" customWidth="1"/>
    <col min="12" max="14" width="11.69140625" customWidth="1"/>
    <col min="20" max="59" width="12.15234375" hidden="1" customWidth="1"/>
  </cols>
  <sheetData>
    <row r="1" spans="1:59" ht="73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59" x14ac:dyDescent="0.3">
      <c r="A2" s="129" t="s">
        <v>1</v>
      </c>
      <c r="B2" s="130"/>
      <c r="C2" s="130"/>
      <c r="D2" s="131" t="s">
        <v>1624</v>
      </c>
      <c r="E2" s="98"/>
      <c r="F2" s="133" t="s">
        <v>2379</v>
      </c>
      <c r="G2" s="130"/>
      <c r="H2" s="133" t="s">
        <v>6</v>
      </c>
      <c r="I2" s="134" t="s">
        <v>2400</v>
      </c>
      <c r="J2" s="134" t="s">
        <v>2407</v>
      </c>
      <c r="K2" s="130"/>
      <c r="L2" s="130"/>
      <c r="M2" s="130"/>
      <c r="N2" s="135"/>
      <c r="O2" s="39"/>
    </row>
    <row r="3" spans="1:59" x14ac:dyDescent="0.3">
      <c r="A3" s="125"/>
      <c r="B3" s="100"/>
      <c r="C3" s="100"/>
      <c r="D3" s="132"/>
      <c r="E3" s="132"/>
      <c r="F3" s="100"/>
      <c r="G3" s="100"/>
      <c r="H3" s="100"/>
      <c r="I3" s="100"/>
      <c r="J3" s="100"/>
      <c r="K3" s="100"/>
      <c r="L3" s="100"/>
      <c r="M3" s="100"/>
      <c r="N3" s="124"/>
      <c r="O3" s="39"/>
    </row>
    <row r="4" spans="1:59" x14ac:dyDescent="0.3">
      <c r="A4" s="118" t="s">
        <v>2</v>
      </c>
      <c r="B4" s="100"/>
      <c r="C4" s="100"/>
      <c r="D4" s="99" t="s">
        <v>1625</v>
      </c>
      <c r="E4" s="100"/>
      <c r="F4" s="121" t="s">
        <v>2380</v>
      </c>
      <c r="G4" s="100"/>
      <c r="H4" s="121" t="s">
        <v>6</v>
      </c>
      <c r="I4" s="99" t="s">
        <v>2401</v>
      </c>
      <c r="J4" s="99" t="s">
        <v>2408</v>
      </c>
      <c r="K4" s="100"/>
      <c r="L4" s="100"/>
      <c r="M4" s="100"/>
      <c r="N4" s="124"/>
      <c r="O4" s="39"/>
    </row>
    <row r="5" spans="1:59" x14ac:dyDescent="0.3">
      <c r="A5" s="125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24"/>
      <c r="O5" s="39"/>
    </row>
    <row r="6" spans="1:59" x14ac:dyDescent="0.3">
      <c r="A6" s="118" t="s">
        <v>3</v>
      </c>
      <c r="B6" s="100"/>
      <c r="C6" s="100"/>
      <c r="D6" s="99" t="s">
        <v>1626</v>
      </c>
      <c r="E6" s="100"/>
      <c r="F6" s="121" t="s">
        <v>2381</v>
      </c>
      <c r="G6" s="100"/>
      <c r="H6" s="121" t="s">
        <v>6</v>
      </c>
      <c r="I6" s="99" t="s">
        <v>2402</v>
      </c>
      <c r="J6" s="121" t="s">
        <v>2409</v>
      </c>
      <c r="K6" s="100"/>
      <c r="L6" s="100"/>
      <c r="M6" s="100"/>
      <c r="N6" s="124"/>
      <c r="O6" s="39"/>
    </row>
    <row r="7" spans="1:59" x14ac:dyDescent="0.3">
      <c r="A7" s="12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24"/>
      <c r="O7" s="39"/>
    </row>
    <row r="8" spans="1:59" x14ac:dyDescent="0.3">
      <c r="A8" s="118" t="s">
        <v>4</v>
      </c>
      <c r="B8" s="100"/>
      <c r="C8" s="100"/>
      <c r="D8" s="99">
        <v>8016122</v>
      </c>
      <c r="E8" s="100"/>
      <c r="F8" s="121" t="s">
        <v>2382</v>
      </c>
      <c r="G8" s="100"/>
      <c r="H8" s="122">
        <v>44869</v>
      </c>
      <c r="I8" s="99" t="s">
        <v>2403</v>
      </c>
      <c r="J8" s="99" t="s">
        <v>2410</v>
      </c>
      <c r="K8" s="100"/>
      <c r="L8" s="100"/>
      <c r="M8" s="100"/>
      <c r="N8" s="124"/>
      <c r="O8" s="39"/>
    </row>
    <row r="9" spans="1:59" x14ac:dyDescent="0.3">
      <c r="A9" s="119"/>
      <c r="B9" s="120"/>
      <c r="C9" s="120"/>
      <c r="D9" s="120"/>
      <c r="E9" s="120"/>
      <c r="F9" s="120"/>
      <c r="G9" s="120"/>
      <c r="H9" s="123"/>
      <c r="I9" s="120"/>
      <c r="J9" s="120"/>
      <c r="K9" s="120"/>
      <c r="L9" s="120"/>
      <c r="M9" s="120"/>
      <c r="N9" s="123"/>
      <c r="O9" s="39"/>
    </row>
    <row r="10" spans="1:59" x14ac:dyDescent="0.3">
      <c r="A10" s="1" t="s">
        <v>5</v>
      </c>
      <c r="B10" s="10" t="s">
        <v>1004</v>
      </c>
      <c r="C10" s="10" t="s">
        <v>1006</v>
      </c>
      <c r="D10" s="116" t="s">
        <v>1627</v>
      </c>
      <c r="E10" s="117"/>
      <c r="F10" s="10" t="s">
        <v>2383</v>
      </c>
      <c r="G10" s="20" t="s">
        <v>2397</v>
      </c>
      <c r="H10" s="24" t="s">
        <v>2398</v>
      </c>
      <c r="I10" s="109" t="s">
        <v>2404</v>
      </c>
      <c r="J10" s="110"/>
      <c r="K10" s="111"/>
      <c r="L10" s="109" t="s">
        <v>2413</v>
      </c>
      <c r="M10" s="111"/>
      <c r="N10" s="32" t="s">
        <v>2415</v>
      </c>
      <c r="O10" s="40"/>
      <c r="BF10" s="31" t="s">
        <v>2491</v>
      </c>
      <c r="BG10" s="45" t="s">
        <v>2493</v>
      </c>
    </row>
    <row r="11" spans="1:59" x14ac:dyDescent="0.3">
      <c r="A11" s="2" t="s">
        <v>6</v>
      </c>
      <c r="B11" s="11" t="s">
        <v>6</v>
      </c>
      <c r="C11" s="11" t="s">
        <v>6</v>
      </c>
      <c r="D11" s="112" t="s">
        <v>1628</v>
      </c>
      <c r="E11" s="113"/>
      <c r="F11" s="11" t="s">
        <v>6</v>
      </c>
      <c r="G11" s="11" t="s">
        <v>6</v>
      </c>
      <c r="H11" s="25" t="s">
        <v>2399</v>
      </c>
      <c r="I11" s="26" t="s">
        <v>2405</v>
      </c>
      <c r="J11" s="28" t="s">
        <v>2411</v>
      </c>
      <c r="K11" s="29" t="s">
        <v>2412</v>
      </c>
      <c r="L11" s="26" t="s">
        <v>2414</v>
      </c>
      <c r="M11" s="29" t="s">
        <v>2412</v>
      </c>
      <c r="N11" s="33" t="s">
        <v>2416</v>
      </c>
      <c r="O11" s="40"/>
      <c r="U11" s="31" t="s">
        <v>2419</v>
      </c>
      <c r="V11" s="31" t="s">
        <v>2420</v>
      </c>
      <c r="W11" s="31" t="s">
        <v>2421</v>
      </c>
      <c r="X11" s="31" t="s">
        <v>2422</v>
      </c>
      <c r="Y11" s="31" t="s">
        <v>2423</v>
      </c>
      <c r="Z11" s="31" t="s">
        <v>2424</v>
      </c>
      <c r="AA11" s="31" t="s">
        <v>2425</v>
      </c>
      <c r="AB11" s="31" t="s">
        <v>2426</v>
      </c>
      <c r="AC11" s="31" t="s">
        <v>2427</v>
      </c>
      <c r="BC11" s="31" t="s">
        <v>2488</v>
      </c>
      <c r="BD11" s="31" t="s">
        <v>2489</v>
      </c>
      <c r="BE11" s="31" t="s">
        <v>2490</v>
      </c>
    </row>
    <row r="12" spans="1:59" x14ac:dyDescent="0.3">
      <c r="A12" s="3"/>
      <c r="B12" s="12"/>
      <c r="C12" s="12" t="s">
        <v>1007</v>
      </c>
      <c r="D12" s="114" t="s">
        <v>1629</v>
      </c>
      <c r="E12" s="115"/>
      <c r="F12" s="18" t="s">
        <v>6</v>
      </c>
      <c r="G12" s="18" t="s">
        <v>6</v>
      </c>
      <c r="H12" s="18" t="s">
        <v>6</v>
      </c>
      <c r="I12" s="46">
        <f>SUM(I13:I52)</f>
        <v>0</v>
      </c>
      <c r="J12" s="46">
        <f>SUM(J13:J52)</f>
        <v>0</v>
      </c>
      <c r="K12" s="46">
        <f>SUM(K13:K52)</f>
        <v>0</v>
      </c>
      <c r="L12" s="30"/>
      <c r="M12" s="46">
        <f>SUM(M13:M52)</f>
        <v>0</v>
      </c>
      <c r="N12" s="34"/>
      <c r="O12" s="39"/>
      <c r="AD12" s="31"/>
      <c r="AN12" s="47">
        <f>SUM(AE13:AE52)</f>
        <v>0</v>
      </c>
      <c r="AO12" s="47">
        <f>SUM(AF13:AF52)</f>
        <v>0</v>
      </c>
      <c r="AP12" s="47">
        <f>SUM(AG13:AG52)</f>
        <v>0</v>
      </c>
    </row>
    <row r="13" spans="1:59" ht="12.75" customHeight="1" x14ac:dyDescent="0.3">
      <c r="A13" s="4" t="s">
        <v>7</v>
      </c>
      <c r="B13" s="13"/>
      <c r="C13" s="13" t="s">
        <v>1008</v>
      </c>
      <c r="D13" s="101" t="s">
        <v>1630</v>
      </c>
      <c r="E13" s="102"/>
      <c r="F13" s="13" t="s">
        <v>2384</v>
      </c>
      <c r="G13" s="21">
        <v>52</v>
      </c>
      <c r="H13" s="21">
        <v>0</v>
      </c>
      <c r="I13" s="21">
        <f t="shared" ref="I13:I52" si="0">G13*AJ13</f>
        <v>0</v>
      </c>
      <c r="J13" s="21">
        <f t="shared" ref="J13:J52" si="1">G13*AK13</f>
        <v>0</v>
      </c>
      <c r="K13" s="21">
        <f t="shared" ref="K13:K52" si="2">G13*H13</f>
        <v>0</v>
      </c>
      <c r="L13" s="21">
        <v>0</v>
      </c>
      <c r="M13" s="21">
        <f t="shared" ref="M13:M52" si="3">G13*L13</f>
        <v>0</v>
      </c>
      <c r="N13" s="35"/>
      <c r="O13" s="39"/>
      <c r="U13" s="41">
        <f t="shared" ref="U13:U52" si="4">IF(AL13="5",BE13,0)</f>
        <v>0</v>
      </c>
      <c r="W13" s="41">
        <f t="shared" ref="W13:W52" si="5">IF(AL13="1",BC13,0)</f>
        <v>0</v>
      </c>
      <c r="X13" s="41">
        <f t="shared" ref="X13:X52" si="6">IF(AL13="1",BD13,0)</f>
        <v>0</v>
      </c>
      <c r="Y13" s="41">
        <f t="shared" ref="Y13:Y52" si="7">IF(AL13="7",BC13,0)</f>
        <v>0</v>
      </c>
      <c r="Z13" s="41">
        <f t="shared" ref="Z13:Z52" si="8">IF(AL13="7",BD13,0)</f>
        <v>0</v>
      </c>
      <c r="AA13" s="41">
        <f t="shared" ref="AA13:AA52" si="9">IF(AL13="2",BC13,0)</f>
        <v>0</v>
      </c>
      <c r="AB13" s="41">
        <f t="shared" ref="AB13:AB52" si="10">IF(AL13="2",BD13,0)</f>
        <v>0</v>
      </c>
      <c r="AC13" s="41">
        <f t="shared" ref="AC13:AC52" si="11">IF(AL13="0",BE13,0)</f>
        <v>0</v>
      </c>
      <c r="AD13" s="31"/>
      <c r="AE13" s="21">
        <f t="shared" ref="AE13:AE52" si="12">IF(AI13=0,K13,0)</f>
        <v>0</v>
      </c>
      <c r="AF13" s="21">
        <f t="shared" ref="AF13:AF52" si="13">IF(AI13=15,K13,0)</f>
        <v>0</v>
      </c>
      <c r="AG13" s="21">
        <f t="shared" ref="AG13:AG52" si="14">IF(AI13=21,K13,0)</f>
        <v>0</v>
      </c>
      <c r="AI13" s="41">
        <v>21</v>
      </c>
      <c r="AJ13" s="41">
        <f t="shared" ref="AJ13:AJ52" si="15">H13*0</f>
        <v>0</v>
      </c>
      <c r="AK13" s="41">
        <f t="shared" ref="AK13:AK52" si="16">H13*(1-0)</f>
        <v>0</v>
      </c>
      <c r="AL13" s="42" t="s">
        <v>8</v>
      </c>
      <c r="AQ13" s="41">
        <f t="shared" ref="AQ13:AQ52" si="17">AR13+AS13</f>
        <v>0</v>
      </c>
      <c r="AR13" s="41">
        <f t="shared" ref="AR13:AR52" si="18">G13*AJ13</f>
        <v>0</v>
      </c>
      <c r="AS13" s="41">
        <f t="shared" ref="AS13:AS52" si="19">G13*AK13</f>
        <v>0</v>
      </c>
      <c r="AT13" s="44" t="s">
        <v>2428</v>
      </c>
      <c r="AU13" s="44" t="s">
        <v>2475</v>
      </c>
      <c r="AV13" s="31" t="s">
        <v>2486</v>
      </c>
      <c r="AX13" s="41">
        <f t="shared" ref="AX13:AX52" si="20">AR13+AS13</f>
        <v>0</v>
      </c>
      <c r="AY13" s="41">
        <f t="shared" ref="AY13:AY52" si="21">H13/(100-AZ13)*100</f>
        <v>0</v>
      </c>
      <c r="AZ13" s="41">
        <v>0</v>
      </c>
      <c r="BA13" s="41">
        <f t="shared" ref="BA13:BA52" si="22">M13</f>
        <v>0</v>
      </c>
      <c r="BC13" s="21">
        <f t="shared" ref="BC13:BC52" si="23">G13*AJ13</f>
        <v>0</v>
      </c>
      <c r="BD13" s="21">
        <f t="shared" ref="BD13:BD52" si="24">G13*AK13</f>
        <v>0</v>
      </c>
      <c r="BE13" s="21">
        <f t="shared" ref="BE13:BE52" si="25">G13*H13</f>
        <v>0</v>
      </c>
      <c r="BF13" s="21" t="s">
        <v>2492</v>
      </c>
      <c r="BG13" s="41">
        <v>22233</v>
      </c>
    </row>
    <row r="14" spans="1:59" x14ac:dyDescent="0.3">
      <c r="A14" s="4" t="s">
        <v>8</v>
      </c>
      <c r="B14" s="13"/>
      <c r="C14" s="13" t="s">
        <v>1009</v>
      </c>
      <c r="D14" s="101" t="s">
        <v>1631</v>
      </c>
      <c r="E14" s="102"/>
      <c r="F14" s="13" t="s">
        <v>2384</v>
      </c>
      <c r="G14" s="21">
        <v>52</v>
      </c>
      <c r="H14" s="21"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1">
        <v>0</v>
      </c>
      <c r="M14" s="21">
        <f t="shared" si="3"/>
        <v>0</v>
      </c>
      <c r="N14" s="35"/>
      <c r="O14" s="39"/>
      <c r="U14" s="41">
        <f t="shared" si="4"/>
        <v>0</v>
      </c>
      <c r="W14" s="41">
        <f t="shared" si="5"/>
        <v>0</v>
      </c>
      <c r="X14" s="41">
        <f t="shared" si="6"/>
        <v>0</v>
      </c>
      <c r="Y14" s="41">
        <f t="shared" si="7"/>
        <v>0</v>
      </c>
      <c r="Z14" s="41">
        <f t="shared" si="8"/>
        <v>0</v>
      </c>
      <c r="AA14" s="41">
        <f t="shared" si="9"/>
        <v>0</v>
      </c>
      <c r="AB14" s="41">
        <f t="shared" si="10"/>
        <v>0</v>
      </c>
      <c r="AC14" s="41">
        <f t="shared" si="11"/>
        <v>0</v>
      </c>
      <c r="AD14" s="31"/>
      <c r="AE14" s="21">
        <f t="shared" si="12"/>
        <v>0</v>
      </c>
      <c r="AF14" s="21">
        <f t="shared" si="13"/>
        <v>0</v>
      </c>
      <c r="AG14" s="21">
        <f t="shared" si="14"/>
        <v>0</v>
      </c>
      <c r="AI14" s="41">
        <v>21</v>
      </c>
      <c r="AJ14" s="41">
        <f t="shared" si="15"/>
        <v>0</v>
      </c>
      <c r="AK14" s="41">
        <f t="shared" si="16"/>
        <v>0</v>
      </c>
      <c r="AL14" s="42" t="s">
        <v>8</v>
      </c>
      <c r="AQ14" s="41">
        <f t="shared" si="17"/>
        <v>0</v>
      </c>
      <c r="AR14" s="41">
        <f t="shared" si="18"/>
        <v>0</v>
      </c>
      <c r="AS14" s="41">
        <f t="shared" si="19"/>
        <v>0</v>
      </c>
      <c r="AT14" s="44" t="s">
        <v>2428</v>
      </c>
      <c r="AU14" s="44" t="s">
        <v>2475</v>
      </c>
      <c r="AV14" s="31" t="s">
        <v>2486</v>
      </c>
      <c r="AX14" s="41">
        <f t="shared" si="20"/>
        <v>0</v>
      </c>
      <c r="AY14" s="41">
        <f t="shared" si="21"/>
        <v>0</v>
      </c>
      <c r="AZ14" s="41">
        <v>0</v>
      </c>
      <c r="BA14" s="41">
        <f t="shared" si="22"/>
        <v>0</v>
      </c>
      <c r="BC14" s="21">
        <f t="shared" si="23"/>
        <v>0</v>
      </c>
      <c r="BD14" s="21">
        <f t="shared" si="24"/>
        <v>0</v>
      </c>
      <c r="BE14" s="21">
        <f t="shared" si="25"/>
        <v>0</v>
      </c>
      <c r="BF14" s="21" t="s">
        <v>2492</v>
      </c>
      <c r="BG14" s="41">
        <v>22233</v>
      </c>
    </row>
    <row r="15" spans="1:59" x14ac:dyDescent="0.3">
      <c r="A15" s="4" t="s">
        <v>9</v>
      </c>
      <c r="B15" s="13"/>
      <c r="C15" s="13" t="s">
        <v>1010</v>
      </c>
      <c r="D15" s="101" t="s">
        <v>1632</v>
      </c>
      <c r="E15" s="102"/>
      <c r="F15" s="13" t="s">
        <v>2384</v>
      </c>
      <c r="G15" s="21">
        <v>7</v>
      </c>
      <c r="H15" s="21"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1">
        <v>0</v>
      </c>
      <c r="M15" s="21">
        <f t="shared" si="3"/>
        <v>0</v>
      </c>
      <c r="N15" s="35"/>
      <c r="O15" s="39"/>
      <c r="U15" s="41">
        <f t="shared" si="4"/>
        <v>0</v>
      </c>
      <c r="W15" s="41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8"/>
        <v>0</v>
      </c>
      <c r="AA15" s="41">
        <f t="shared" si="9"/>
        <v>0</v>
      </c>
      <c r="AB15" s="41">
        <f t="shared" si="10"/>
        <v>0</v>
      </c>
      <c r="AC15" s="41">
        <f t="shared" si="11"/>
        <v>0</v>
      </c>
      <c r="AD15" s="31"/>
      <c r="AE15" s="21">
        <f t="shared" si="12"/>
        <v>0</v>
      </c>
      <c r="AF15" s="21">
        <f t="shared" si="13"/>
        <v>0</v>
      </c>
      <c r="AG15" s="21">
        <f t="shared" si="14"/>
        <v>0</v>
      </c>
      <c r="AI15" s="41">
        <v>21</v>
      </c>
      <c r="AJ15" s="41">
        <f t="shared" si="15"/>
        <v>0</v>
      </c>
      <c r="AK15" s="41">
        <f t="shared" si="16"/>
        <v>0</v>
      </c>
      <c r="AL15" s="42" t="s">
        <v>8</v>
      </c>
      <c r="AQ15" s="41">
        <f t="shared" si="17"/>
        <v>0</v>
      </c>
      <c r="AR15" s="41">
        <f t="shared" si="18"/>
        <v>0</v>
      </c>
      <c r="AS15" s="41">
        <f t="shared" si="19"/>
        <v>0</v>
      </c>
      <c r="AT15" s="44" t="s">
        <v>2428</v>
      </c>
      <c r="AU15" s="44" t="s">
        <v>2475</v>
      </c>
      <c r="AV15" s="31" t="s">
        <v>2486</v>
      </c>
      <c r="AX15" s="41">
        <f t="shared" si="20"/>
        <v>0</v>
      </c>
      <c r="AY15" s="41">
        <f t="shared" si="21"/>
        <v>0</v>
      </c>
      <c r="AZ15" s="41">
        <v>0</v>
      </c>
      <c r="BA15" s="41">
        <f t="shared" si="22"/>
        <v>0</v>
      </c>
      <c r="BC15" s="21">
        <f t="shared" si="23"/>
        <v>0</v>
      </c>
      <c r="BD15" s="21">
        <f t="shared" si="24"/>
        <v>0</v>
      </c>
      <c r="BE15" s="21">
        <f t="shared" si="25"/>
        <v>0</v>
      </c>
      <c r="BF15" s="21" t="s">
        <v>2492</v>
      </c>
      <c r="BG15" s="41">
        <v>22233</v>
      </c>
    </row>
    <row r="16" spans="1:59" x14ac:dyDescent="0.3">
      <c r="A16" s="4" t="s">
        <v>10</v>
      </c>
      <c r="B16" s="13"/>
      <c r="C16" s="13" t="s">
        <v>1011</v>
      </c>
      <c r="D16" s="101" t="s">
        <v>1633</v>
      </c>
      <c r="E16" s="102"/>
      <c r="F16" s="13" t="s">
        <v>2384</v>
      </c>
      <c r="G16" s="21">
        <v>7</v>
      </c>
      <c r="H16" s="21">
        <v>0</v>
      </c>
      <c r="I16" s="21">
        <f t="shared" si="0"/>
        <v>0</v>
      </c>
      <c r="J16" s="21">
        <f t="shared" si="1"/>
        <v>0</v>
      </c>
      <c r="K16" s="21">
        <f t="shared" si="2"/>
        <v>0</v>
      </c>
      <c r="L16" s="21">
        <v>0</v>
      </c>
      <c r="M16" s="21">
        <f t="shared" si="3"/>
        <v>0</v>
      </c>
      <c r="N16" s="35"/>
      <c r="O16" s="39"/>
      <c r="U16" s="41">
        <f t="shared" si="4"/>
        <v>0</v>
      </c>
      <c r="W16" s="41">
        <f t="shared" si="5"/>
        <v>0</v>
      </c>
      <c r="X16" s="41">
        <f t="shared" si="6"/>
        <v>0</v>
      </c>
      <c r="Y16" s="41">
        <f t="shared" si="7"/>
        <v>0</v>
      </c>
      <c r="Z16" s="41">
        <f t="shared" si="8"/>
        <v>0</v>
      </c>
      <c r="AA16" s="41">
        <f t="shared" si="9"/>
        <v>0</v>
      </c>
      <c r="AB16" s="41">
        <f t="shared" si="10"/>
        <v>0</v>
      </c>
      <c r="AC16" s="41">
        <f t="shared" si="11"/>
        <v>0</v>
      </c>
      <c r="AD16" s="31"/>
      <c r="AE16" s="21">
        <f t="shared" si="12"/>
        <v>0</v>
      </c>
      <c r="AF16" s="21">
        <f t="shared" si="13"/>
        <v>0</v>
      </c>
      <c r="AG16" s="21">
        <f t="shared" si="14"/>
        <v>0</v>
      </c>
      <c r="AI16" s="41">
        <v>21</v>
      </c>
      <c r="AJ16" s="41">
        <f t="shared" si="15"/>
        <v>0</v>
      </c>
      <c r="AK16" s="41">
        <f t="shared" si="16"/>
        <v>0</v>
      </c>
      <c r="AL16" s="42" t="s">
        <v>8</v>
      </c>
      <c r="AQ16" s="41">
        <f t="shared" si="17"/>
        <v>0</v>
      </c>
      <c r="AR16" s="41">
        <f t="shared" si="18"/>
        <v>0</v>
      </c>
      <c r="AS16" s="41">
        <f t="shared" si="19"/>
        <v>0</v>
      </c>
      <c r="AT16" s="44" t="s">
        <v>2428</v>
      </c>
      <c r="AU16" s="44" t="s">
        <v>2475</v>
      </c>
      <c r="AV16" s="31" t="s">
        <v>2486</v>
      </c>
      <c r="AX16" s="41">
        <f t="shared" si="20"/>
        <v>0</v>
      </c>
      <c r="AY16" s="41">
        <f t="shared" si="21"/>
        <v>0</v>
      </c>
      <c r="AZ16" s="41">
        <v>0</v>
      </c>
      <c r="BA16" s="41">
        <f t="shared" si="22"/>
        <v>0</v>
      </c>
      <c r="BC16" s="21">
        <f t="shared" si="23"/>
        <v>0</v>
      </c>
      <c r="BD16" s="21">
        <f t="shared" si="24"/>
        <v>0</v>
      </c>
      <c r="BE16" s="21">
        <f t="shared" si="25"/>
        <v>0</v>
      </c>
      <c r="BF16" s="21" t="s">
        <v>2492</v>
      </c>
      <c r="BG16" s="41">
        <v>22233</v>
      </c>
    </row>
    <row r="17" spans="1:59" x14ac:dyDescent="0.3">
      <c r="A17" s="4" t="s">
        <v>11</v>
      </c>
      <c r="B17" s="13"/>
      <c r="C17" s="13" t="s">
        <v>1012</v>
      </c>
      <c r="D17" s="101" t="s">
        <v>1634</v>
      </c>
      <c r="E17" s="102"/>
      <c r="F17" s="13" t="s">
        <v>2384</v>
      </c>
      <c r="G17" s="21">
        <v>1</v>
      </c>
      <c r="H17" s="21">
        <v>0</v>
      </c>
      <c r="I17" s="21">
        <f t="shared" si="0"/>
        <v>0</v>
      </c>
      <c r="J17" s="21">
        <f t="shared" si="1"/>
        <v>0</v>
      </c>
      <c r="K17" s="21">
        <f t="shared" si="2"/>
        <v>0</v>
      </c>
      <c r="L17" s="21">
        <v>0</v>
      </c>
      <c r="M17" s="21">
        <f t="shared" si="3"/>
        <v>0</v>
      </c>
      <c r="N17" s="35"/>
      <c r="O17" s="39"/>
      <c r="U17" s="41">
        <f t="shared" si="4"/>
        <v>0</v>
      </c>
      <c r="W17" s="41">
        <f t="shared" si="5"/>
        <v>0</v>
      </c>
      <c r="X17" s="41">
        <f t="shared" si="6"/>
        <v>0</v>
      </c>
      <c r="Y17" s="41">
        <f t="shared" si="7"/>
        <v>0</v>
      </c>
      <c r="Z17" s="41">
        <f t="shared" si="8"/>
        <v>0</v>
      </c>
      <c r="AA17" s="41">
        <f t="shared" si="9"/>
        <v>0</v>
      </c>
      <c r="AB17" s="41">
        <f t="shared" si="10"/>
        <v>0</v>
      </c>
      <c r="AC17" s="41">
        <f t="shared" si="11"/>
        <v>0</v>
      </c>
      <c r="AD17" s="31"/>
      <c r="AE17" s="21">
        <f t="shared" si="12"/>
        <v>0</v>
      </c>
      <c r="AF17" s="21">
        <f t="shared" si="13"/>
        <v>0</v>
      </c>
      <c r="AG17" s="21">
        <f t="shared" si="14"/>
        <v>0</v>
      </c>
      <c r="AI17" s="41">
        <v>21</v>
      </c>
      <c r="AJ17" s="41">
        <f t="shared" si="15"/>
        <v>0</v>
      </c>
      <c r="AK17" s="41">
        <f t="shared" si="16"/>
        <v>0</v>
      </c>
      <c r="AL17" s="42" t="s">
        <v>8</v>
      </c>
      <c r="AQ17" s="41">
        <f t="shared" si="17"/>
        <v>0</v>
      </c>
      <c r="AR17" s="41">
        <f t="shared" si="18"/>
        <v>0</v>
      </c>
      <c r="AS17" s="41">
        <f t="shared" si="19"/>
        <v>0</v>
      </c>
      <c r="AT17" s="44" t="s">
        <v>2428</v>
      </c>
      <c r="AU17" s="44" t="s">
        <v>2475</v>
      </c>
      <c r="AV17" s="31" t="s">
        <v>2486</v>
      </c>
      <c r="AX17" s="41">
        <f t="shared" si="20"/>
        <v>0</v>
      </c>
      <c r="AY17" s="41">
        <f t="shared" si="21"/>
        <v>0</v>
      </c>
      <c r="AZ17" s="41">
        <v>0</v>
      </c>
      <c r="BA17" s="41">
        <f t="shared" si="22"/>
        <v>0</v>
      </c>
      <c r="BC17" s="21">
        <f t="shared" si="23"/>
        <v>0</v>
      </c>
      <c r="BD17" s="21">
        <f t="shared" si="24"/>
        <v>0</v>
      </c>
      <c r="BE17" s="21">
        <f t="shared" si="25"/>
        <v>0</v>
      </c>
      <c r="BF17" s="21" t="s">
        <v>2492</v>
      </c>
      <c r="BG17" s="41">
        <v>22233</v>
      </c>
    </row>
    <row r="18" spans="1:59" x14ac:dyDescent="0.3">
      <c r="A18" s="4" t="s">
        <v>12</v>
      </c>
      <c r="B18" s="13"/>
      <c r="C18" s="13" t="s">
        <v>1013</v>
      </c>
      <c r="D18" s="101" t="s">
        <v>1635</v>
      </c>
      <c r="E18" s="102"/>
      <c r="F18" s="13" t="s">
        <v>2384</v>
      </c>
      <c r="G18" s="21">
        <v>1</v>
      </c>
      <c r="H18" s="21">
        <v>0</v>
      </c>
      <c r="I18" s="21">
        <f t="shared" si="0"/>
        <v>0</v>
      </c>
      <c r="J18" s="21">
        <f t="shared" si="1"/>
        <v>0</v>
      </c>
      <c r="K18" s="21">
        <f t="shared" si="2"/>
        <v>0</v>
      </c>
      <c r="L18" s="21">
        <v>0</v>
      </c>
      <c r="M18" s="21">
        <f t="shared" si="3"/>
        <v>0</v>
      </c>
      <c r="N18" s="35"/>
      <c r="O18" s="39"/>
      <c r="U18" s="41">
        <f t="shared" si="4"/>
        <v>0</v>
      </c>
      <c r="W18" s="41">
        <f t="shared" si="5"/>
        <v>0</v>
      </c>
      <c r="X18" s="41">
        <f t="shared" si="6"/>
        <v>0</v>
      </c>
      <c r="Y18" s="41">
        <f t="shared" si="7"/>
        <v>0</v>
      </c>
      <c r="Z18" s="41">
        <f t="shared" si="8"/>
        <v>0</v>
      </c>
      <c r="AA18" s="41">
        <f t="shared" si="9"/>
        <v>0</v>
      </c>
      <c r="AB18" s="41">
        <f t="shared" si="10"/>
        <v>0</v>
      </c>
      <c r="AC18" s="41">
        <f t="shared" si="11"/>
        <v>0</v>
      </c>
      <c r="AD18" s="31"/>
      <c r="AE18" s="21">
        <f t="shared" si="12"/>
        <v>0</v>
      </c>
      <c r="AF18" s="21">
        <f t="shared" si="13"/>
        <v>0</v>
      </c>
      <c r="AG18" s="21">
        <f t="shared" si="14"/>
        <v>0</v>
      </c>
      <c r="AI18" s="41">
        <v>21</v>
      </c>
      <c r="AJ18" s="41">
        <f t="shared" si="15"/>
        <v>0</v>
      </c>
      <c r="AK18" s="41">
        <f t="shared" si="16"/>
        <v>0</v>
      </c>
      <c r="AL18" s="42" t="s">
        <v>8</v>
      </c>
      <c r="AQ18" s="41">
        <f t="shared" si="17"/>
        <v>0</v>
      </c>
      <c r="AR18" s="41">
        <f t="shared" si="18"/>
        <v>0</v>
      </c>
      <c r="AS18" s="41">
        <f t="shared" si="19"/>
        <v>0</v>
      </c>
      <c r="AT18" s="44" t="s">
        <v>2428</v>
      </c>
      <c r="AU18" s="44" t="s">
        <v>2475</v>
      </c>
      <c r="AV18" s="31" t="s">
        <v>2486</v>
      </c>
      <c r="AX18" s="41">
        <f t="shared" si="20"/>
        <v>0</v>
      </c>
      <c r="AY18" s="41">
        <f t="shared" si="21"/>
        <v>0</v>
      </c>
      <c r="AZ18" s="41">
        <v>0</v>
      </c>
      <c r="BA18" s="41">
        <f t="shared" si="22"/>
        <v>0</v>
      </c>
      <c r="BC18" s="21">
        <f t="shared" si="23"/>
        <v>0</v>
      </c>
      <c r="BD18" s="21">
        <f t="shared" si="24"/>
        <v>0</v>
      </c>
      <c r="BE18" s="21">
        <f t="shared" si="25"/>
        <v>0</v>
      </c>
      <c r="BF18" s="21" t="s">
        <v>2492</v>
      </c>
      <c r="BG18" s="41">
        <v>22233</v>
      </c>
    </row>
    <row r="19" spans="1:59" x14ac:dyDescent="0.3">
      <c r="A19" s="4" t="s">
        <v>13</v>
      </c>
      <c r="B19" s="13"/>
      <c r="C19" s="13" t="s">
        <v>1014</v>
      </c>
      <c r="D19" s="101" t="s">
        <v>1636</v>
      </c>
      <c r="E19" s="102"/>
      <c r="F19" s="13" t="s">
        <v>2384</v>
      </c>
      <c r="G19" s="21">
        <v>1</v>
      </c>
      <c r="H19" s="21">
        <v>0</v>
      </c>
      <c r="I19" s="21">
        <f t="shared" si="0"/>
        <v>0</v>
      </c>
      <c r="J19" s="21">
        <f t="shared" si="1"/>
        <v>0</v>
      </c>
      <c r="K19" s="21">
        <f t="shared" si="2"/>
        <v>0</v>
      </c>
      <c r="L19" s="21">
        <v>0</v>
      </c>
      <c r="M19" s="21">
        <f t="shared" si="3"/>
        <v>0</v>
      </c>
      <c r="N19" s="35"/>
      <c r="O19" s="39"/>
      <c r="U19" s="41">
        <f t="shared" si="4"/>
        <v>0</v>
      </c>
      <c r="W19" s="41">
        <f t="shared" si="5"/>
        <v>0</v>
      </c>
      <c r="X19" s="41">
        <f t="shared" si="6"/>
        <v>0</v>
      </c>
      <c r="Y19" s="41">
        <f t="shared" si="7"/>
        <v>0</v>
      </c>
      <c r="Z19" s="41">
        <f t="shared" si="8"/>
        <v>0</v>
      </c>
      <c r="AA19" s="41">
        <f t="shared" si="9"/>
        <v>0</v>
      </c>
      <c r="AB19" s="41">
        <f t="shared" si="10"/>
        <v>0</v>
      </c>
      <c r="AC19" s="41">
        <f t="shared" si="11"/>
        <v>0</v>
      </c>
      <c r="AD19" s="31"/>
      <c r="AE19" s="21">
        <f t="shared" si="12"/>
        <v>0</v>
      </c>
      <c r="AF19" s="21">
        <f t="shared" si="13"/>
        <v>0</v>
      </c>
      <c r="AG19" s="21">
        <f t="shared" si="14"/>
        <v>0</v>
      </c>
      <c r="AI19" s="41">
        <v>21</v>
      </c>
      <c r="AJ19" s="41">
        <f t="shared" si="15"/>
        <v>0</v>
      </c>
      <c r="AK19" s="41">
        <f t="shared" si="16"/>
        <v>0</v>
      </c>
      <c r="AL19" s="42" t="s">
        <v>8</v>
      </c>
      <c r="AQ19" s="41">
        <f t="shared" si="17"/>
        <v>0</v>
      </c>
      <c r="AR19" s="41">
        <f t="shared" si="18"/>
        <v>0</v>
      </c>
      <c r="AS19" s="41">
        <f t="shared" si="19"/>
        <v>0</v>
      </c>
      <c r="AT19" s="44" t="s">
        <v>2428</v>
      </c>
      <c r="AU19" s="44" t="s">
        <v>2475</v>
      </c>
      <c r="AV19" s="31" t="s">
        <v>2486</v>
      </c>
      <c r="AX19" s="41">
        <f t="shared" si="20"/>
        <v>0</v>
      </c>
      <c r="AY19" s="41">
        <f t="shared" si="21"/>
        <v>0</v>
      </c>
      <c r="AZ19" s="41">
        <v>0</v>
      </c>
      <c r="BA19" s="41">
        <f t="shared" si="22"/>
        <v>0</v>
      </c>
      <c r="BC19" s="21">
        <f t="shared" si="23"/>
        <v>0</v>
      </c>
      <c r="BD19" s="21">
        <f t="shared" si="24"/>
        <v>0</v>
      </c>
      <c r="BE19" s="21">
        <f t="shared" si="25"/>
        <v>0</v>
      </c>
      <c r="BF19" s="21" t="s">
        <v>2492</v>
      </c>
      <c r="BG19" s="41">
        <v>22233</v>
      </c>
    </row>
    <row r="20" spans="1:59" x14ac:dyDescent="0.3">
      <c r="A20" s="4" t="s">
        <v>14</v>
      </c>
      <c r="B20" s="13"/>
      <c r="C20" s="13" t="s">
        <v>1015</v>
      </c>
      <c r="D20" s="101" t="s">
        <v>1637</v>
      </c>
      <c r="E20" s="102"/>
      <c r="F20" s="13" t="s">
        <v>2384</v>
      </c>
      <c r="G20" s="21">
        <v>1</v>
      </c>
      <c r="H20" s="21">
        <v>0</v>
      </c>
      <c r="I20" s="21">
        <f t="shared" si="0"/>
        <v>0</v>
      </c>
      <c r="J20" s="21">
        <f t="shared" si="1"/>
        <v>0</v>
      </c>
      <c r="K20" s="21">
        <f t="shared" si="2"/>
        <v>0</v>
      </c>
      <c r="L20" s="21">
        <v>0</v>
      </c>
      <c r="M20" s="21">
        <f t="shared" si="3"/>
        <v>0</v>
      </c>
      <c r="N20" s="35"/>
      <c r="O20" s="39"/>
      <c r="U20" s="41">
        <f t="shared" si="4"/>
        <v>0</v>
      </c>
      <c r="W20" s="41">
        <f t="shared" si="5"/>
        <v>0</v>
      </c>
      <c r="X20" s="41">
        <f t="shared" si="6"/>
        <v>0</v>
      </c>
      <c r="Y20" s="41">
        <f t="shared" si="7"/>
        <v>0</v>
      </c>
      <c r="Z20" s="41">
        <f t="shared" si="8"/>
        <v>0</v>
      </c>
      <c r="AA20" s="41">
        <f t="shared" si="9"/>
        <v>0</v>
      </c>
      <c r="AB20" s="41">
        <f t="shared" si="10"/>
        <v>0</v>
      </c>
      <c r="AC20" s="41">
        <f t="shared" si="11"/>
        <v>0</v>
      </c>
      <c r="AD20" s="31"/>
      <c r="AE20" s="21">
        <f t="shared" si="12"/>
        <v>0</v>
      </c>
      <c r="AF20" s="21">
        <f t="shared" si="13"/>
        <v>0</v>
      </c>
      <c r="AG20" s="21">
        <f t="shared" si="14"/>
        <v>0</v>
      </c>
      <c r="AI20" s="41">
        <v>21</v>
      </c>
      <c r="AJ20" s="41">
        <f t="shared" si="15"/>
        <v>0</v>
      </c>
      <c r="AK20" s="41">
        <f t="shared" si="16"/>
        <v>0</v>
      </c>
      <c r="AL20" s="42" t="s">
        <v>8</v>
      </c>
      <c r="AQ20" s="41">
        <f t="shared" si="17"/>
        <v>0</v>
      </c>
      <c r="AR20" s="41">
        <f t="shared" si="18"/>
        <v>0</v>
      </c>
      <c r="AS20" s="41">
        <f t="shared" si="19"/>
        <v>0</v>
      </c>
      <c r="AT20" s="44" t="s">
        <v>2428</v>
      </c>
      <c r="AU20" s="44" t="s">
        <v>2475</v>
      </c>
      <c r="AV20" s="31" t="s">
        <v>2486</v>
      </c>
      <c r="AX20" s="41">
        <f t="shared" si="20"/>
        <v>0</v>
      </c>
      <c r="AY20" s="41">
        <f t="shared" si="21"/>
        <v>0</v>
      </c>
      <c r="AZ20" s="41">
        <v>0</v>
      </c>
      <c r="BA20" s="41">
        <f t="shared" si="22"/>
        <v>0</v>
      </c>
      <c r="BC20" s="21">
        <f t="shared" si="23"/>
        <v>0</v>
      </c>
      <c r="BD20" s="21">
        <f t="shared" si="24"/>
        <v>0</v>
      </c>
      <c r="BE20" s="21">
        <f t="shared" si="25"/>
        <v>0</v>
      </c>
      <c r="BF20" s="21" t="s">
        <v>2492</v>
      </c>
      <c r="BG20" s="41">
        <v>22233</v>
      </c>
    </row>
    <row r="21" spans="1:59" x14ac:dyDescent="0.3">
      <c r="A21" s="4" t="s">
        <v>15</v>
      </c>
      <c r="B21" s="13"/>
      <c r="C21" s="13" t="s">
        <v>1016</v>
      </c>
      <c r="D21" s="101" t="s">
        <v>1638</v>
      </c>
      <c r="E21" s="102"/>
      <c r="F21" s="13" t="s">
        <v>2384</v>
      </c>
      <c r="G21" s="21">
        <v>17</v>
      </c>
      <c r="H21" s="21">
        <v>0</v>
      </c>
      <c r="I21" s="21">
        <f t="shared" si="0"/>
        <v>0</v>
      </c>
      <c r="J21" s="21">
        <f t="shared" si="1"/>
        <v>0</v>
      </c>
      <c r="K21" s="21">
        <f t="shared" si="2"/>
        <v>0</v>
      </c>
      <c r="L21" s="21">
        <v>0</v>
      </c>
      <c r="M21" s="21">
        <f t="shared" si="3"/>
        <v>0</v>
      </c>
      <c r="N21" s="35"/>
      <c r="O21" s="39"/>
      <c r="U21" s="41">
        <f t="shared" si="4"/>
        <v>0</v>
      </c>
      <c r="W21" s="41">
        <f t="shared" si="5"/>
        <v>0</v>
      </c>
      <c r="X21" s="41">
        <f t="shared" si="6"/>
        <v>0</v>
      </c>
      <c r="Y21" s="41">
        <f t="shared" si="7"/>
        <v>0</v>
      </c>
      <c r="Z21" s="41">
        <f t="shared" si="8"/>
        <v>0</v>
      </c>
      <c r="AA21" s="41">
        <f t="shared" si="9"/>
        <v>0</v>
      </c>
      <c r="AB21" s="41">
        <f t="shared" si="10"/>
        <v>0</v>
      </c>
      <c r="AC21" s="41">
        <f t="shared" si="11"/>
        <v>0</v>
      </c>
      <c r="AD21" s="31"/>
      <c r="AE21" s="21">
        <f t="shared" si="12"/>
        <v>0</v>
      </c>
      <c r="AF21" s="21">
        <f t="shared" si="13"/>
        <v>0</v>
      </c>
      <c r="AG21" s="21">
        <f t="shared" si="14"/>
        <v>0</v>
      </c>
      <c r="AI21" s="41">
        <v>21</v>
      </c>
      <c r="AJ21" s="41">
        <f t="shared" si="15"/>
        <v>0</v>
      </c>
      <c r="AK21" s="41">
        <f t="shared" si="16"/>
        <v>0</v>
      </c>
      <c r="AL21" s="42" t="s">
        <v>8</v>
      </c>
      <c r="AQ21" s="41">
        <f t="shared" si="17"/>
        <v>0</v>
      </c>
      <c r="AR21" s="41">
        <f t="shared" si="18"/>
        <v>0</v>
      </c>
      <c r="AS21" s="41">
        <f t="shared" si="19"/>
        <v>0</v>
      </c>
      <c r="AT21" s="44" t="s">
        <v>2428</v>
      </c>
      <c r="AU21" s="44" t="s">
        <v>2475</v>
      </c>
      <c r="AV21" s="31" t="s">
        <v>2486</v>
      </c>
      <c r="AX21" s="41">
        <f t="shared" si="20"/>
        <v>0</v>
      </c>
      <c r="AY21" s="41">
        <f t="shared" si="21"/>
        <v>0</v>
      </c>
      <c r="AZ21" s="41">
        <v>0</v>
      </c>
      <c r="BA21" s="41">
        <f t="shared" si="22"/>
        <v>0</v>
      </c>
      <c r="BC21" s="21">
        <f t="shared" si="23"/>
        <v>0</v>
      </c>
      <c r="BD21" s="21">
        <f t="shared" si="24"/>
        <v>0</v>
      </c>
      <c r="BE21" s="21">
        <f t="shared" si="25"/>
        <v>0</v>
      </c>
      <c r="BF21" s="21" t="s">
        <v>2492</v>
      </c>
      <c r="BG21" s="41">
        <v>22233</v>
      </c>
    </row>
    <row r="22" spans="1:59" x14ac:dyDescent="0.3">
      <c r="A22" s="4" t="s">
        <v>16</v>
      </c>
      <c r="B22" s="13"/>
      <c r="C22" s="13" t="s">
        <v>1017</v>
      </c>
      <c r="D22" s="101" t="s">
        <v>1639</v>
      </c>
      <c r="E22" s="102"/>
      <c r="F22" s="13" t="s">
        <v>2384</v>
      </c>
      <c r="G22" s="21">
        <v>3</v>
      </c>
      <c r="H22" s="21">
        <v>0</v>
      </c>
      <c r="I22" s="21">
        <f t="shared" si="0"/>
        <v>0</v>
      </c>
      <c r="J22" s="21">
        <f t="shared" si="1"/>
        <v>0</v>
      </c>
      <c r="K22" s="21">
        <f t="shared" si="2"/>
        <v>0</v>
      </c>
      <c r="L22" s="21">
        <v>0</v>
      </c>
      <c r="M22" s="21">
        <f t="shared" si="3"/>
        <v>0</v>
      </c>
      <c r="N22" s="35"/>
      <c r="O22" s="39"/>
      <c r="U22" s="41">
        <f t="shared" si="4"/>
        <v>0</v>
      </c>
      <c r="W22" s="41">
        <f t="shared" si="5"/>
        <v>0</v>
      </c>
      <c r="X22" s="41">
        <f t="shared" si="6"/>
        <v>0</v>
      </c>
      <c r="Y22" s="41">
        <f t="shared" si="7"/>
        <v>0</v>
      </c>
      <c r="Z22" s="41">
        <f t="shared" si="8"/>
        <v>0</v>
      </c>
      <c r="AA22" s="41">
        <f t="shared" si="9"/>
        <v>0</v>
      </c>
      <c r="AB22" s="41">
        <f t="shared" si="10"/>
        <v>0</v>
      </c>
      <c r="AC22" s="41">
        <f t="shared" si="11"/>
        <v>0</v>
      </c>
      <c r="AD22" s="31"/>
      <c r="AE22" s="21">
        <f t="shared" si="12"/>
        <v>0</v>
      </c>
      <c r="AF22" s="21">
        <f t="shared" si="13"/>
        <v>0</v>
      </c>
      <c r="AG22" s="21">
        <f t="shared" si="14"/>
        <v>0</v>
      </c>
      <c r="AI22" s="41">
        <v>21</v>
      </c>
      <c r="AJ22" s="41">
        <f t="shared" si="15"/>
        <v>0</v>
      </c>
      <c r="AK22" s="41">
        <f t="shared" si="16"/>
        <v>0</v>
      </c>
      <c r="AL22" s="42" t="s">
        <v>8</v>
      </c>
      <c r="AQ22" s="41">
        <f t="shared" si="17"/>
        <v>0</v>
      </c>
      <c r="AR22" s="41">
        <f t="shared" si="18"/>
        <v>0</v>
      </c>
      <c r="AS22" s="41">
        <f t="shared" si="19"/>
        <v>0</v>
      </c>
      <c r="AT22" s="44" t="s">
        <v>2428</v>
      </c>
      <c r="AU22" s="44" t="s">
        <v>2475</v>
      </c>
      <c r="AV22" s="31" t="s">
        <v>2486</v>
      </c>
      <c r="AX22" s="41">
        <f t="shared" si="20"/>
        <v>0</v>
      </c>
      <c r="AY22" s="41">
        <f t="shared" si="21"/>
        <v>0</v>
      </c>
      <c r="AZ22" s="41">
        <v>0</v>
      </c>
      <c r="BA22" s="41">
        <f t="shared" si="22"/>
        <v>0</v>
      </c>
      <c r="BC22" s="21">
        <f t="shared" si="23"/>
        <v>0</v>
      </c>
      <c r="BD22" s="21">
        <f t="shared" si="24"/>
        <v>0</v>
      </c>
      <c r="BE22" s="21">
        <f t="shared" si="25"/>
        <v>0</v>
      </c>
      <c r="BF22" s="21" t="s">
        <v>2492</v>
      </c>
      <c r="BG22" s="41">
        <v>22233</v>
      </c>
    </row>
    <row r="23" spans="1:59" x14ac:dyDescent="0.3">
      <c r="A23" s="4" t="s">
        <v>17</v>
      </c>
      <c r="B23" s="13"/>
      <c r="C23" s="13" t="s">
        <v>1018</v>
      </c>
      <c r="D23" s="101" t="s">
        <v>1640</v>
      </c>
      <c r="E23" s="102"/>
      <c r="F23" s="13" t="s">
        <v>2385</v>
      </c>
      <c r="G23" s="21">
        <v>1026</v>
      </c>
      <c r="H23" s="21">
        <v>0</v>
      </c>
      <c r="I23" s="21">
        <f t="shared" si="0"/>
        <v>0</v>
      </c>
      <c r="J23" s="21">
        <f t="shared" si="1"/>
        <v>0</v>
      </c>
      <c r="K23" s="21">
        <f t="shared" si="2"/>
        <v>0</v>
      </c>
      <c r="L23" s="21">
        <v>0</v>
      </c>
      <c r="M23" s="21">
        <f t="shared" si="3"/>
        <v>0</v>
      </c>
      <c r="N23" s="35"/>
      <c r="O23" s="39"/>
      <c r="U23" s="41">
        <f t="shared" si="4"/>
        <v>0</v>
      </c>
      <c r="W23" s="41">
        <f t="shared" si="5"/>
        <v>0</v>
      </c>
      <c r="X23" s="41">
        <f t="shared" si="6"/>
        <v>0</v>
      </c>
      <c r="Y23" s="41">
        <f t="shared" si="7"/>
        <v>0</v>
      </c>
      <c r="Z23" s="41">
        <f t="shared" si="8"/>
        <v>0</v>
      </c>
      <c r="AA23" s="41">
        <f t="shared" si="9"/>
        <v>0</v>
      </c>
      <c r="AB23" s="41">
        <f t="shared" si="10"/>
        <v>0</v>
      </c>
      <c r="AC23" s="41">
        <f t="shared" si="11"/>
        <v>0</v>
      </c>
      <c r="AD23" s="31"/>
      <c r="AE23" s="21">
        <f t="shared" si="12"/>
        <v>0</v>
      </c>
      <c r="AF23" s="21">
        <f t="shared" si="13"/>
        <v>0</v>
      </c>
      <c r="AG23" s="21">
        <f t="shared" si="14"/>
        <v>0</v>
      </c>
      <c r="AI23" s="41">
        <v>21</v>
      </c>
      <c r="AJ23" s="41">
        <f t="shared" si="15"/>
        <v>0</v>
      </c>
      <c r="AK23" s="41">
        <f t="shared" si="16"/>
        <v>0</v>
      </c>
      <c r="AL23" s="42" t="s">
        <v>8</v>
      </c>
      <c r="AQ23" s="41">
        <f t="shared" si="17"/>
        <v>0</v>
      </c>
      <c r="AR23" s="41">
        <f t="shared" si="18"/>
        <v>0</v>
      </c>
      <c r="AS23" s="41">
        <f t="shared" si="19"/>
        <v>0</v>
      </c>
      <c r="AT23" s="44" t="s">
        <v>2428</v>
      </c>
      <c r="AU23" s="44" t="s">
        <v>2475</v>
      </c>
      <c r="AV23" s="31" t="s">
        <v>2486</v>
      </c>
      <c r="AX23" s="41">
        <f t="shared" si="20"/>
        <v>0</v>
      </c>
      <c r="AY23" s="41">
        <f t="shared" si="21"/>
        <v>0</v>
      </c>
      <c r="AZ23" s="41">
        <v>0</v>
      </c>
      <c r="BA23" s="41">
        <f t="shared" si="22"/>
        <v>0</v>
      </c>
      <c r="BC23" s="21">
        <f t="shared" si="23"/>
        <v>0</v>
      </c>
      <c r="BD23" s="21">
        <f t="shared" si="24"/>
        <v>0</v>
      </c>
      <c r="BE23" s="21">
        <f t="shared" si="25"/>
        <v>0</v>
      </c>
      <c r="BF23" s="21" t="s">
        <v>2492</v>
      </c>
      <c r="BG23" s="41">
        <v>22233</v>
      </c>
    </row>
    <row r="24" spans="1:59" x14ac:dyDescent="0.3">
      <c r="A24" s="4" t="s">
        <v>18</v>
      </c>
      <c r="B24" s="13"/>
      <c r="C24" s="13" t="s">
        <v>1019</v>
      </c>
      <c r="D24" s="101" t="s">
        <v>1641</v>
      </c>
      <c r="E24" s="102"/>
      <c r="F24" s="13" t="s">
        <v>2385</v>
      </c>
      <c r="G24" s="21">
        <v>235</v>
      </c>
      <c r="H24" s="21">
        <v>0</v>
      </c>
      <c r="I24" s="21">
        <f t="shared" si="0"/>
        <v>0</v>
      </c>
      <c r="J24" s="21">
        <f t="shared" si="1"/>
        <v>0</v>
      </c>
      <c r="K24" s="21">
        <f t="shared" si="2"/>
        <v>0</v>
      </c>
      <c r="L24" s="21">
        <v>0</v>
      </c>
      <c r="M24" s="21">
        <f t="shared" si="3"/>
        <v>0</v>
      </c>
      <c r="N24" s="35"/>
      <c r="O24" s="39"/>
      <c r="U24" s="41">
        <f t="shared" si="4"/>
        <v>0</v>
      </c>
      <c r="W24" s="41">
        <f t="shared" si="5"/>
        <v>0</v>
      </c>
      <c r="X24" s="41">
        <f t="shared" si="6"/>
        <v>0</v>
      </c>
      <c r="Y24" s="41">
        <f t="shared" si="7"/>
        <v>0</v>
      </c>
      <c r="Z24" s="41">
        <f t="shared" si="8"/>
        <v>0</v>
      </c>
      <c r="AA24" s="41">
        <f t="shared" si="9"/>
        <v>0</v>
      </c>
      <c r="AB24" s="41">
        <f t="shared" si="10"/>
        <v>0</v>
      </c>
      <c r="AC24" s="41">
        <f t="shared" si="11"/>
        <v>0</v>
      </c>
      <c r="AD24" s="31"/>
      <c r="AE24" s="21">
        <f t="shared" si="12"/>
        <v>0</v>
      </c>
      <c r="AF24" s="21">
        <f t="shared" si="13"/>
        <v>0</v>
      </c>
      <c r="AG24" s="21">
        <f t="shared" si="14"/>
        <v>0</v>
      </c>
      <c r="AI24" s="41">
        <v>21</v>
      </c>
      <c r="AJ24" s="41">
        <f t="shared" si="15"/>
        <v>0</v>
      </c>
      <c r="AK24" s="41">
        <f t="shared" si="16"/>
        <v>0</v>
      </c>
      <c r="AL24" s="42" t="s">
        <v>8</v>
      </c>
      <c r="AQ24" s="41">
        <f t="shared" si="17"/>
        <v>0</v>
      </c>
      <c r="AR24" s="41">
        <f t="shared" si="18"/>
        <v>0</v>
      </c>
      <c r="AS24" s="41">
        <f t="shared" si="19"/>
        <v>0</v>
      </c>
      <c r="AT24" s="44" t="s">
        <v>2428</v>
      </c>
      <c r="AU24" s="44" t="s">
        <v>2475</v>
      </c>
      <c r="AV24" s="31" t="s">
        <v>2486</v>
      </c>
      <c r="AX24" s="41">
        <f t="shared" si="20"/>
        <v>0</v>
      </c>
      <c r="AY24" s="41">
        <f t="shared" si="21"/>
        <v>0</v>
      </c>
      <c r="AZ24" s="41">
        <v>0</v>
      </c>
      <c r="BA24" s="41">
        <f t="shared" si="22"/>
        <v>0</v>
      </c>
      <c r="BC24" s="21">
        <f t="shared" si="23"/>
        <v>0</v>
      </c>
      <c r="BD24" s="21">
        <f t="shared" si="24"/>
        <v>0</v>
      </c>
      <c r="BE24" s="21">
        <f t="shared" si="25"/>
        <v>0</v>
      </c>
      <c r="BF24" s="21" t="s">
        <v>2492</v>
      </c>
      <c r="BG24" s="41">
        <v>22233</v>
      </c>
    </row>
    <row r="25" spans="1:59" x14ac:dyDescent="0.3">
      <c r="A25" s="4" t="s">
        <v>19</v>
      </c>
      <c r="B25" s="13"/>
      <c r="C25" s="13" t="s">
        <v>1020</v>
      </c>
      <c r="D25" s="101" t="s">
        <v>1642</v>
      </c>
      <c r="E25" s="102"/>
      <c r="F25" s="13" t="s">
        <v>2385</v>
      </c>
      <c r="G25" s="21">
        <v>475</v>
      </c>
      <c r="H25" s="21">
        <v>0</v>
      </c>
      <c r="I25" s="21">
        <f t="shared" si="0"/>
        <v>0</v>
      </c>
      <c r="J25" s="21">
        <f t="shared" si="1"/>
        <v>0</v>
      </c>
      <c r="K25" s="21">
        <f t="shared" si="2"/>
        <v>0</v>
      </c>
      <c r="L25" s="21">
        <v>0</v>
      </c>
      <c r="M25" s="21">
        <f t="shared" si="3"/>
        <v>0</v>
      </c>
      <c r="N25" s="35"/>
      <c r="O25" s="39"/>
      <c r="U25" s="41">
        <f t="shared" si="4"/>
        <v>0</v>
      </c>
      <c r="W25" s="41">
        <f t="shared" si="5"/>
        <v>0</v>
      </c>
      <c r="X25" s="41">
        <f t="shared" si="6"/>
        <v>0</v>
      </c>
      <c r="Y25" s="41">
        <f t="shared" si="7"/>
        <v>0</v>
      </c>
      <c r="Z25" s="41">
        <f t="shared" si="8"/>
        <v>0</v>
      </c>
      <c r="AA25" s="41">
        <f t="shared" si="9"/>
        <v>0</v>
      </c>
      <c r="AB25" s="41">
        <f t="shared" si="10"/>
        <v>0</v>
      </c>
      <c r="AC25" s="41">
        <f t="shared" si="11"/>
        <v>0</v>
      </c>
      <c r="AD25" s="31"/>
      <c r="AE25" s="21">
        <f t="shared" si="12"/>
        <v>0</v>
      </c>
      <c r="AF25" s="21">
        <f t="shared" si="13"/>
        <v>0</v>
      </c>
      <c r="AG25" s="21">
        <f t="shared" si="14"/>
        <v>0</v>
      </c>
      <c r="AI25" s="41">
        <v>21</v>
      </c>
      <c r="AJ25" s="41">
        <f t="shared" si="15"/>
        <v>0</v>
      </c>
      <c r="AK25" s="41">
        <f t="shared" si="16"/>
        <v>0</v>
      </c>
      <c r="AL25" s="42" t="s">
        <v>8</v>
      </c>
      <c r="AQ25" s="41">
        <f t="shared" si="17"/>
        <v>0</v>
      </c>
      <c r="AR25" s="41">
        <f t="shared" si="18"/>
        <v>0</v>
      </c>
      <c r="AS25" s="41">
        <f t="shared" si="19"/>
        <v>0</v>
      </c>
      <c r="AT25" s="44" t="s">
        <v>2428</v>
      </c>
      <c r="AU25" s="44" t="s">
        <v>2475</v>
      </c>
      <c r="AV25" s="31" t="s">
        <v>2486</v>
      </c>
      <c r="AX25" s="41">
        <f t="shared" si="20"/>
        <v>0</v>
      </c>
      <c r="AY25" s="41">
        <f t="shared" si="21"/>
        <v>0</v>
      </c>
      <c r="AZ25" s="41">
        <v>0</v>
      </c>
      <c r="BA25" s="41">
        <f t="shared" si="22"/>
        <v>0</v>
      </c>
      <c r="BC25" s="21">
        <f t="shared" si="23"/>
        <v>0</v>
      </c>
      <c r="BD25" s="21">
        <f t="shared" si="24"/>
        <v>0</v>
      </c>
      <c r="BE25" s="21">
        <f t="shared" si="25"/>
        <v>0</v>
      </c>
      <c r="BF25" s="21" t="s">
        <v>2492</v>
      </c>
      <c r="BG25" s="41">
        <v>22233</v>
      </c>
    </row>
    <row r="26" spans="1:59" x14ac:dyDescent="0.3">
      <c r="A26" s="4" t="s">
        <v>20</v>
      </c>
      <c r="B26" s="13"/>
      <c r="C26" s="13" t="s">
        <v>1021</v>
      </c>
      <c r="D26" s="101" t="s">
        <v>1643</v>
      </c>
      <c r="E26" s="102"/>
      <c r="F26" s="13" t="s">
        <v>2384</v>
      </c>
      <c r="G26" s="21">
        <v>110</v>
      </c>
      <c r="H26" s="21">
        <v>0</v>
      </c>
      <c r="I26" s="21">
        <f t="shared" si="0"/>
        <v>0</v>
      </c>
      <c r="J26" s="21">
        <f t="shared" si="1"/>
        <v>0</v>
      </c>
      <c r="K26" s="21">
        <f t="shared" si="2"/>
        <v>0</v>
      </c>
      <c r="L26" s="21">
        <v>0</v>
      </c>
      <c r="M26" s="21">
        <f t="shared" si="3"/>
        <v>0</v>
      </c>
      <c r="N26" s="35"/>
      <c r="O26" s="39"/>
      <c r="U26" s="41">
        <f t="shared" si="4"/>
        <v>0</v>
      </c>
      <c r="W26" s="41">
        <f t="shared" si="5"/>
        <v>0</v>
      </c>
      <c r="X26" s="41">
        <f t="shared" si="6"/>
        <v>0</v>
      </c>
      <c r="Y26" s="41">
        <f t="shared" si="7"/>
        <v>0</v>
      </c>
      <c r="Z26" s="41">
        <f t="shared" si="8"/>
        <v>0</v>
      </c>
      <c r="AA26" s="41">
        <f t="shared" si="9"/>
        <v>0</v>
      </c>
      <c r="AB26" s="41">
        <f t="shared" si="10"/>
        <v>0</v>
      </c>
      <c r="AC26" s="41">
        <f t="shared" si="11"/>
        <v>0</v>
      </c>
      <c r="AD26" s="31"/>
      <c r="AE26" s="21">
        <f t="shared" si="12"/>
        <v>0</v>
      </c>
      <c r="AF26" s="21">
        <f t="shared" si="13"/>
        <v>0</v>
      </c>
      <c r="AG26" s="21">
        <f t="shared" si="14"/>
        <v>0</v>
      </c>
      <c r="AI26" s="41">
        <v>21</v>
      </c>
      <c r="AJ26" s="41">
        <f t="shared" si="15"/>
        <v>0</v>
      </c>
      <c r="AK26" s="41">
        <f t="shared" si="16"/>
        <v>0</v>
      </c>
      <c r="AL26" s="42" t="s">
        <v>8</v>
      </c>
      <c r="AQ26" s="41">
        <f t="shared" si="17"/>
        <v>0</v>
      </c>
      <c r="AR26" s="41">
        <f t="shared" si="18"/>
        <v>0</v>
      </c>
      <c r="AS26" s="41">
        <f t="shared" si="19"/>
        <v>0</v>
      </c>
      <c r="AT26" s="44" t="s">
        <v>2428</v>
      </c>
      <c r="AU26" s="44" t="s">
        <v>2475</v>
      </c>
      <c r="AV26" s="31" t="s">
        <v>2486</v>
      </c>
      <c r="AX26" s="41">
        <f t="shared" si="20"/>
        <v>0</v>
      </c>
      <c r="AY26" s="41">
        <f t="shared" si="21"/>
        <v>0</v>
      </c>
      <c r="AZ26" s="41">
        <v>0</v>
      </c>
      <c r="BA26" s="41">
        <f t="shared" si="22"/>
        <v>0</v>
      </c>
      <c r="BC26" s="21">
        <f t="shared" si="23"/>
        <v>0</v>
      </c>
      <c r="BD26" s="21">
        <f t="shared" si="24"/>
        <v>0</v>
      </c>
      <c r="BE26" s="21">
        <f t="shared" si="25"/>
        <v>0</v>
      </c>
      <c r="BF26" s="21" t="s">
        <v>2492</v>
      </c>
      <c r="BG26" s="41">
        <v>22233</v>
      </c>
    </row>
    <row r="27" spans="1:59" x14ac:dyDescent="0.3">
      <c r="A27" s="4" t="s">
        <v>21</v>
      </c>
      <c r="B27" s="13"/>
      <c r="C27" s="13" t="s">
        <v>1022</v>
      </c>
      <c r="D27" s="101" t="s">
        <v>1644</v>
      </c>
      <c r="E27" s="102"/>
      <c r="F27" s="13" t="s">
        <v>2385</v>
      </c>
      <c r="G27" s="21">
        <v>1000</v>
      </c>
      <c r="H27" s="21">
        <v>0</v>
      </c>
      <c r="I27" s="21">
        <f t="shared" si="0"/>
        <v>0</v>
      </c>
      <c r="J27" s="21">
        <f t="shared" si="1"/>
        <v>0</v>
      </c>
      <c r="K27" s="21">
        <f t="shared" si="2"/>
        <v>0</v>
      </c>
      <c r="L27" s="21">
        <v>0</v>
      </c>
      <c r="M27" s="21">
        <f t="shared" si="3"/>
        <v>0</v>
      </c>
      <c r="N27" s="35"/>
      <c r="O27" s="39"/>
      <c r="U27" s="41">
        <f t="shared" si="4"/>
        <v>0</v>
      </c>
      <c r="W27" s="41">
        <f t="shared" si="5"/>
        <v>0</v>
      </c>
      <c r="X27" s="41">
        <f t="shared" si="6"/>
        <v>0</v>
      </c>
      <c r="Y27" s="41">
        <f t="shared" si="7"/>
        <v>0</v>
      </c>
      <c r="Z27" s="41">
        <f t="shared" si="8"/>
        <v>0</v>
      </c>
      <c r="AA27" s="41">
        <f t="shared" si="9"/>
        <v>0</v>
      </c>
      <c r="AB27" s="41">
        <f t="shared" si="10"/>
        <v>0</v>
      </c>
      <c r="AC27" s="41">
        <f t="shared" si="11"/>
        <v>0</v>
      </c>
      <c r="AD27" s="31"/>
      <c r="AE27" s="21">
        <f t="shared" si="12"/>
        <v>0</v>
      </c>
      <c r="AF27" s="21">
        <f t="shared" si="13"/>
        <v>0</v>
      </c>
      <c r="AG27" s="21">
        <f t="shared" si="14"/>
        <v>0</v>
      </c>
      <c r="AI27" s="41">
        <v>21</v>
      </c>
      <c r="AJ27" s="41">
        <f t="shared" si="15"/>
        <v>0</v>
      </c>
      <c r="AK27" s="41">
        <f t="shared" si="16"/>
        <v>0</v>
      </c>
      <c r="AL27" s="42" t="s">
        <v>8</v>
      </c>
      <c r="AQ27" s="41">
        <f t="shared" si="17"/>
        <v>0</v>
      </c>
      <c r="AR27" s="41">
        <f t="shared" si="18"/>
        <v>0</v>
      </c>
      <c r="AS27" s="41">
        <f t="shared" si="19"/>
        <v>0</v>
      </c>
      <c r="AT27" s="44" t="s">
        <v>2428</v>
      </c>
      <c r="AU27" s="44" t="s">
        <v>2475</v>
      </c>
      <c r="AV27" s="31" t="s">
        <v>2486</v>
      </c>
      <c r="AX27" s="41">
        <f t="shared" si="20"/>
        <v>0</v>
      </c>
      <c r="AY27" s="41">
        <f t="shared" si="21"/>
        <v>0</v>
      </c>
      <c r="AZ27" s="41">
        <v>0</v>
      </c>
      <c r="BA27" s="41">
        <f t="shared" si="22"/>
        <v>0</v>
      </c>
      <c r="BC27" s="21">
        <f t="shared" si="23"/>
        <v>0</v>
      </c>
      <c r="BD27" s="21">
        <f t="shared" si="24"/>
        <v>0</v>
      </c>
      <c r="BE27" s="21">
        <f t="shared" si="25"/>
        <v>0</v>
      </c>
      <c r="BF27" s="21" t="s">
        <v>2492</v>
      </c>
      <c r="BG27" s="41">
        <v>22233</v>
      </c>
    </row>
    <row r="28" spans="1:59" x14ac:dyDescent="0.3">
      <c r="A28" s="4" t="s">
        <v>22</v>
      </c>
      <c r="B28" s="13"/>
      <c r="C28" s="13" t="s">
        <v>1023</v>
      </c>
      <c r="D28" s="101" t="s">
        <v>1645</v>
      </c>
      <c r="E28" s="102"/>
      <c r="F28" s="13" t="s">
        <v>2385</v>
      </c>
      <c r="G28" s="21">
        <v>450</v>
      </c>
      <c r="H28" s="21">
        <v>0</v>
      </c>
      <c r="I28" s="21">
        <f t="shared" si="0"/>
        <v>0</v>
      </c>
      <c r="J28" s="21">
        <f t="shared" si="1"/>
        <v>0</v>
      </c>
      <c r="K28" s="21">
        <f t="shared" si="2"/>
        <v>0</v>
      </c>
      <c r="L28" s="21">
        <v>0</v>
      </c>
      <c r="M28" s="21">
        <f t="shared" si="3"/>
        <v>0</v>
      </c>
      <c r="N28" s="35"/>
      <c r="O28" s="39"/>
      <c r="U28" s="41">
        <f t="shared" si="4"/>
        <v>0</v>
      </c>
      <c r="W28" s="41">
        <f t="shared" si="5"/>
        <v>0</v>
      </c>
      <c r="X28" s="41">
        <f t="shared" si="6"/>
        <v>0</v>
      </c>
      <c r="Y28" s="41">
        <f t="shared" si="7"/>
        <v>0</v>
      </c>
      <c r="Z28" s="41">
        <f t="shared" si="8"/>
        <v>0</v>
      </c>
      <c r="AA28" s="41">
        <f t="shared" si="9"/>
        <v>0</v>
      </c>
      <c r="AB28" s="41">
        <f t="shared" si="10"/>
        <v>0</v>
      </c>
      <c r="AC28" s="41">
        <f t="shared" si="11"/>
        <v>0</v>
      </c>
      <c r="AD28" s="31"/>
      <c r="AE28" s="21">
        <f t="shared" si="12"/>
        <v>0</v>
      </c>
      <c r="AF28" s="21">
        <f t="shared" si="13"/>
        <v>0</v>
      </c>
      <c r="AG28" s="21">
        <f t="shared" si="14"/>
        <v>0</v>
      </c>
      <c r="AI28" s="41">
        <v>21</v>
      </c>
      <c r="AJ28" s="41">
        <f t="shared" si="15"/>
        <v>0</v>
      </c>
      <c r="AK28" s="41">
        <f t="shared" si="16"/>
        <v>0</v>
      </c>
      <c r="AL28" s="42" t="s">
        <v>8</v>
      </c>
      <c r="AQ28" s="41">
        <f t="shared" si="17"/>
        <v>0</v>
      </c>
      <c r="AR28" s="41">
        <f t="shared" si="18"/>
        <v>0</v>
      </c>
      <c r="AS28" s="41">
        <f t="shared" si="19"/>
        <v>0</v>
      </c>
      <c r="AT28" s="44" t="s">
        <v>2428</v>
      </c>
      <c r="AU28" s="44" t="s">
        <v>2475</v>
      </c>
      <c r="AV28" s="31" t="s">
        <v>2486</v>
      </c>
      <c r="AX28" s="41">
        <f t="shared" si="20"/>
        <v>0</v>
      </c>
      <c r="AY28" s="41">
        <f t="shared" si="21"/>
        <v>0</v>
      </c>
      <c r="AZ28" s="41">
        <v>0</v>
      </c>
      <c r="BA28" s="41">
        <f t="shared" si="22"/>
        <v>0</v>
      </c>
      <c r="BC28" s="21">
        <f t="shared" si="23"/>
        <v>0</v>
      </c>
      <c r="BD28" s="21">
        <f t="shared" si="24"/>
        <v>0</v>
      </c>
      <c r="BE28" s="21">
        <f t="shared" si="25"/>
        <v>0</v>
      </c>
      <c r="BF28" s="21" t="s">
        <v>2492</v>
      </c>
      <c r="BG28" s="41">
        <v>22233</v>
      </c>
    </row>
    <row r="29" spans="1:59" x14ac:dyDescent="0.3">
      <c r="A29" s="4" t="s">
        <v>23</v>
      </c>
      <c r="B29" s="13"/>
      <c r="C29" s="13" t="s">
        <v>1024</v>
      </c>
      <c r="D29" s="101" t="s">
        <v>1646</v>
      </c>
      <c r="E29" s="102"/>
      <c r="F29" s="13" t="s">
        <v>2384</v>
      </c>
      <c r="G29" s="21">
        <v>2500</v>
      </c>
      <c r="H29" s="21">
        <v>0</v>
      </c>
      <c r="I29" s="21">
        <f t="shared" si="0"/>
        <v>0</v>
      </c>
      <c r="J29" s="21">
        <f t="shared" si="1"/>
        <v>0</v>
      </c>
      <c r="K29" s="21">
        <f t="shared" si="2"/>
        <v>0</v>
      </c>
      <c r="L29" s="21">
        <v>0</v>
      </c>
      <c r="M29" s="21">
        <f t="shared" si="3"/>
        <v>0</v>
      </c>
      <c r="N29" s="35"/>
      <c r="O29" s="39"/>
      <c r="U29" s="41">
        <f t="shared" si="4"/>
        <v>0</v>
      </c>
      <c r="W29" s="41">
        <f t="shared" si="5"/>
        <v>0</v>
      </c>
      <c r="X29" s="41">
        <f t="shared" si="6"/>
        <v>0</v>
      </c>
      <c r="Y29" s="41">
        <f t="shared" si="7"/>
        <v>0</v>
      </c>
      <c r="Z29" s="41">
        <f t="shared" si="8"/>
        <v>0</v>
      </c>
      <c r="AA29" s="41">
        <f t="shared" si="9"/>
        <v>0</v>
      </c>
      <c r="AB29" s="41">
        <f t="shared" si="10"/>
        <v>0</v>
      </c>
      <c r="AC29" s="41">
        <f t="shared" si="11"/>
        <v>0</v>
      </c>
      <c r="AD29" s="31"/>
      <c r="AE29" s="21">
        <f t="shared" si="12"/>
        <v>0</v>
      </c>
      <c r="AF29" s="21">
        <f t="shared" si="13"/>
        <v>0</v>
      </c>
      <c r="AG29" s="21">
        <f t="shared" si="14"/>
        <v>0</v>
      </c>
      <c r="AI29" s="41">
        <v>21</v>
      </c>
      <c r="AJ29" s="41">
        <f t="shared" si="15"/>
        <v>0</v>
      </c>
      <c r="AK29" s="41">
        <f t="shared" si="16"/>
        <v>0</v>
      </c>
      <c r="AL29" s="42" t="s">
        <v>8</v>
      </c>
      <c r="AQ29" s="41">
        <f t="shared" si="17"/>
        <v>0</v>
      </c>
      <c r="AR29" s="41">
        <f t="shared" si="18"/>
        <v>0</v>
      </c>
      <c r="AS29" s="41">
        <f t="shared" si="19"/>
        <v>0</v>
      </c>
      <c r="AT29" s="44" t="s">
        <v>2428</v>
      </c>
      <c r="AU29" s="44" t="s">
        <v>2475</v>
      </c>
      <c r="AV29" s="31" t="s">
        <v>2486</v>
      </c>
      <c r="AX29" s="41">
        <f t="shared" si="20"/>
        <v>0</v>
      </c>
      <c r="AY29" s="41">
        <f t="shared" si="21"/>
        <v>0</v>
      </c>
      <c r="AZ29" s="41">
        <v>0</v>
      </c>
      <c r="BA29" s="41">
        <f t="shared" si="22"/>
        <v>0</v>
      </c>
      <c r="BC29" s="21">
        <f t="shared" si="23"/>
        <v>0</v>
      </c>
      <c r="BD29" s="21">
        <f t="shared" si="24"/>
        <v>0</v>
      </c>
      <c r="BE29" s="21">
        <f t="shared" si="25"/>
        <v>0</v>
      </c>
      <c r="BF29" s="21" t="s">
        <v>2492</v>
      </c>
      <c r="BG29" s="41">
        <v>22233</v>
      </c>
    </row>
    <row r="30" spans="1:59" x14ac:dyDescent="0.3">
      <c r="A30" s="4" t="s">
        <v>24</v>
      </c>
      <c r="B30" s="13"/>
      <c r="C30" s="13" t="s">
        <v>1025</v>
      </c>
      <c r="D30" s="101" t="s">
        <v>1647</v>
      </c>
      <c r="E30" s="102"/>
      <c r="F30" s="13" t="s">
        <v>2384</v>
      </c>
      <c r="G30" s="21">
        <v>2300</v>
      </c>
      <c r="H30" s="21">
        <v>0</v>
      </c>
      <c r="I30" s="21">
        <f t="shared" si="0"/>
        <v>0</v>
      </c>
      <c r="J30" s="21">
        <f t="shared" si="1"/>
        <v>0</v>
      </c>
      <c r="K30" s="21">
        <f t="shared" si="2"/>
        <v>0</v>
      </c>
      <c r="L30" s="21">
        <v>0</v>
      </c>
      <c r="M30" s="21">
        <f t="shared" si="3"/>
        <v>0</v>
      </c>
      <c r="N30" s="35"/>
      <c r="O30" s="39"/>
      <c r="U30" s="41">
        <f t="shared" si="4"/>
        <v>0</v>
      </c>
      <c r="W30" s="41">
        <f t="shared" si="5"/>
        <v>0</v>
      </c>
      <c r="X30" s="41">
        <f t="shared" si="6"/>
        <v>0</v>
      </c>
      <c r="Y30" s="41">
        <f t="shared" si="7"/>
        <v>0</v>
      </c>
      <c r="Z30" s="41">
        <f t="shared" si="8"/>
        <v>0</v>
      </c>
      <c r="AA30" s="41">
        <f t="shared" si="9"/>
        <v>0</v>
      </c>
      <c r="AB30" s="41">
        <f t="shared" si="10"/>
        <v>0</v>
      </c>
      <c r="AC30" s="41">
        <f t="shared" si="11"/>
        <v>0</v>
      </c>
      <c r="AD30" s="31"/>
      <c r="AE30" s="21">
        <f t="shared" si="12"/>
        <v>0</v>
      </c>
      <c r="AF30" s="21">
        <f t="shared" si="13"/>
        <v>0</v>
      </c>
      <c r="AG30" s="21">
        <f t="shared" si="14"/>
        <v>0</v>
      </c>
      <c r="AI30" s="41">
        <v>21</v>
      </c>
      <c r="AJ30" s="41">
        <f t="shared" si="15"/>
        <v>0</v>
      </c>
      <c r="AK30" s="41">
        <f t="shared" si="16"/>
        <v>0</v>
      </c>
      <c r="AL30" s="42" t="s">
        <v>8</v>
      </c>
      <c r="AQ30" s="41">
        <f t="shared" si="17"/>
        <v>0</v>
      </c>
      <c r="AR30" s="41">
        <f t="shared" si="18"/>
        <v>0</v>
      </c>
      <c r="AS30" s="41">
        <f t="shared" si="19"/>
        <v>0</v>
      </c>
      <c r="AT30" s="44" t="s">
        <v>2428</v>
      </c>
      <c r="AU30" s="44" t="s">
        <v>2475</v>
      </c>
      <c r="AV30" s="31" t="s">
        <v>2486</v>
      </c>
      <c r="AX30" s="41">
        <f t="shared" si="20"/>
        <v>0</v>
      </c>
      <c r="AY30" s="41">
        <f t="shared" si="21"/>
        <v>0</v>
      </c>
      <c r="AZ30" s="41">
        <v>0</v>
      </c>
      <c r="BA30" s="41">
        <f t="shared" si="22"/>
        <v>0</v>
      </c>
      <c r="BC30" s="21">
        <f t="shared" si="23"/>
        <v>0</v>
      </c>
      <c r="BD30" s="21">
        <f t="shared" si="24"/>
        <v>0</v>
      </c>
      <c r="BE30" s="21">
        <f t="shared" si="25"/>
        <v>0</v>
      </c>
      <c r="BF30" s="21" t="s">
        <v>2492</v>
      </c>
      <c r="BG30" s="41">
        <v>22233</v>
      </c>
    </row>
    <row r="31" spans="1:59" x14ac:dyDescent="0.3">
      <c r="A31" s="4" t="s">
        <v>25</v>
      </c>
      <c r="B31" s="13"/>
      <c r="C31" s="13" t="s">
        <v>1026</v>
      </c>
      <c r="D31" s="101" t="s">
        <v>1648</v>
      </c>
      <c r="E31" s="102"/>
      <c r="F31" s="13" t="s">
        <v>2384</v>
      </c>
      <c r="G31" s="21">
        <v>1</v>
      </c>
      <c r="H31" s="21">
        <v>0</v>
      </c>
      <c r="I31" s="21">
        <f t="shared" si="0"/>
        <v>0</v>
      </c>
      <c r="J31" s="21">
        <f t="shared" si="1"/>
        <v>0</v>
      </c>
      <c r="K31" s="21">
        <f t="shared" si="2"/>
        <v>0</v>
      </c>
      <c r="L31" s="21">
        <v>0</v>
      </c>
      <c r="M31" s="21">
        <f t="shared" si="3"/>
        <v>0</v>
      </c>
      <c r="N31" s="35"/>
      <c r="O31" s="39"/>
      <c r="U31" s="41">
        <f t="shared" si="4"/>
        <v>0</v>
      </c>
      <c r="W31" s="41">
        <f t="shared" si="5"/>
        <v>0</v>
      </c>
      <c r="X31" s="41">
        <f t="shared" si="6"/>
        <v>0</v>
      </c>
      <c r="Y31" s="41">
        <f t="shared" si="7"/>
        <v>0</v>
      </c>
      <c r="Z31" s="41">
        <f t="shared" si="8"/>
        <v>0</v>
      </c>
      <c r="AA31" s="41">
        <f t="shared" si="9"/>
        <v>0</v>
      </c>
      <c r="AB31" s="41">
        <f t="shared" si="10"/>
        <v>0</v>
      </c>
      <c r="AC31" s="41">
        <f t="shared" si="11"/>
        <v>0</v>
      </c>
      <c r="AD31" s="31"/>
      <c r="AE31" s="21">
        <f t="shared" si="12"/>
        <v>0</v>
      </c>
      <c r="AF31" s="21">
        <f t="shared" si="13"/>
        <v>0</v>
      </c>
      <c r="AG31" s="21">
        <f t="shared" si="14"/>
        <v>0</v>
      </c>
      <c r="AI31" s="41">
        <v>21</v>
      </c>
      <c r="AJ31" s="41">
        <f t="shared" si="15"/>
        <v>0</v>
      </c>
      <c r="AK31" s="41">
        <f t="shared" si="16"/>
        <v>0</v>
      </c>
      <c r="AL31" s="42" t="s">
        <v>8</v>
      </c>
      <c r="AQ31" s="41">
        <f t="shared" si="17"/>
        <v>0</v>
      </c>
      <c r="AR31" s="41">
        <f t="shared" si="18"/>
        <v>0</v>
      </c>
      <c r="AS31" s="41">
        <f t="shared" si="19"/>
        <v>0</v>
      </c>
      <c r="AT31" s="44" t="s">
        <v>2428</v>
      </c>
      <c r="AU31" s="44" t="s">
        <v>2475</v>
      </c>
      <c r="AV31" s="31" t="s">
        <v>2486</v>
      </c>
      <c r="AX31" s="41">
        <f t="shared" si="20"/>
        <v>0</v>
      </c>
      <c r="AY31" s="41">
        <f t="shared" si="21"/>
        <v>0</v>
      </c>
      <c r="AZ31" s="41">
        <v>0</v>
      </c>
      <c r="BA31" s="41">
        <f t="shared" si="22"/>
        <v>0</v>
      </c>
      <c r="BC31" s="21">
        <f t="shared" si="23"/>
        <v>0</v>
      </c>
      <c r="BD31" s="21">
        <f t="shared" si="24"/>
        <v>0</v>
      </c>
      <c r="BE31" s="21">
        <f t="shared" si="25"/>
        <v>0</v>
      </c>
      <c r="BF31" s="21" t="s">
        <v>2492</v>
      </c>
      <c r="BG31" s="41">
        <v>22233</v>
      </c>
    </row>
    <row r="32" spans="1:59" x14ac:dyDescent="0.3">
      <c r="A32" s="4" t="s">
        <v>26</v>
      </c>
      <c r="B32" s="13"/>
      <c r="C32" s="13" t="s">
        <v>1027</v>
      </c>
      <c r="D32" s="101" t="s">
        <v>1649</v>
      </c>
      <c r="E32" s="102"/>
      <c r="F32" s="13" t="s">
        <v>2386</v>
      </c>
      <c r="G32" s="21">
        <v>1</v>
      </c>
      <c r="H32" s="21">
        <v>0</v>
      </c>
      <c r="I32" s="21">
        <f t="shared" si="0"/>
        <v>0</v>
      </c>
      <c r="J32" s="21">
        <f t="shared" si="1"/>
        <v>0</v>
      </c>
      <c r="K32" s="21">
        <f t="shared" si="2"/>
        <v>0</v>
      </c>
      <c r="L32" s="21">
        <v>0</v>
      </c>
      <c r="M32" s="21">
        <f t="shared" si="3"/>
        <v>0</v>
      </c>
      <c r="N32" s="35"/>
      <c r="O32" s="39"/>
      <c r="U32" s="41">
        <f t="shared" si="4"/>
        <v>0</v>
      </c>
      <c r="W32" s="41">
        <f t="shared" si="5"/>
        <v>0</v>
      </c>
      <c r="X32" s="41">
        <f t="shared" si="6"/>
        <v>0</v>
      </c>
      <c r="Y32" s="41">
        <f t="shared" si="7"/>
        <v>0</v>
      </c>
      <c r="Z32" s="41">
        <f t="shared" si="8"/>
        <v>0</v>
      </c>
      <c r="AA32" s="41">
        <f t="shared" si="9"/>
        <v>0</v>
      </c>
      <c r="AB32" s="41">
        <f t="shared" si="10"/>
        <v>0</v>
      </c>
      <c r="AC32" s="41">
        <f t="shared" si="11"/>
        <v>0</v>
      </c>
      <c r="AD32" s="31"/>
      <c r="AE32" s="21">
        <f t="shared" si="12"/>
        <v>0</v>
      </c>
      <c r="AF32" s="21">
        <f t="shared" si="13"/>
        <v>0</v>
      </c>
      <c r="AG32" s="21">
        <f t="shared" si="14"/>
        <v>0</v>
      </c>
      <c r="AI32" s="41">
        <v>21</v>
      </c>
      <c r="AJ32" s="41">
        <f t="shared" si="15"/>
        <v>0</v>
      </c>
      <c r="AK32" s="41">
        <f t="shared" si="16"/>
        <v>0</v>
      </c>
      <c r="AL32" s="42" t="s">
        <v>8</v>
      </c>
      <c r="AQ32" s="41">
        <f t="shared" si="17"/>
        <v>0</v>
      </c>
      <c r="AR32" s="41">
        <f t="shared" si="18"/>
        <v>0</v>
      </c>
      <c r="AS32" s="41">
        <f t="shared" si="19"/>
        <v>0</v>
      </c>
      <c r="AT32" s="44" t="s">
        <v>2428</v>
      </c>
      <c r="AU32" s="44" t="s">
        <v>2475</v>
      </c>
      <c r="AV32" s="31" t="s">
        <v>2486</v>
      </c>
      <c r="AX32" s="41">
        <f t="shared" si="20"/>
        <v>0</v>
      </c>
      <c r="AY32" s="41">
        <f t="shared" si="21"/>
        <v>0</v>
      </c>
      <c r="AZ32" s="41">
        <v>0</v>
      </c>
      <c r="BA32" s="41">
        <f t="shared" si="22"/>
        <v>0</v>
      </c>
      <c r="BC32" s="21">
        <f t="shared" si="23"/>
        <v>0</v>
      </c>
      <c r="BD32" s="21">
        <f t="shared" si="24"/>
        <v>0</v>
      </c>
      <c r="BE32" s="21">
        <f t="shared" si="25"/>
        <v>0</v>
      </c>
      <c r="BF32" s="21" t="s">
        <v>2492</v>
      </c>
      <c r="BG32" s="41">
        <v>22233</v>
      </c>
    </row>
    <row r="33" spans="1:59" x14ac:dyDescent="0.3">
      <c r="A33" s="4" t="s">
        <v>27</v>
      </c>
      <c r="B33" s="13"/>
      <c r="C33" s="13" t="s">
        <v>1028</v>
      </c>
      <c r="D33" s="101" t="s">
        <v>1650</v>
      </c>
      <c r="E33" s="102"/>
      <c r="F33" s="13" t="s">
        <v>2386</v>
      </c>
      <c r="G33" s="21">
        <v>1</v>
      </c>
      <c r="H33" s="21">
        <v>0</v>
      </c>
      <c r="I33" s="21">
        <f t="shared" si="0"/>
        <v>0</v>
      </c>
      <c r="J33" s="21">
        <f t="shared" si="1"/>
        <v>0</v>
      </c>
      <c r="K33" s="21">
        <f t="shared" si="2"/>
        <v>0</v>
      </c>
      <c r="L33" s="21">
        <v>0</v>
      </c>
      <c r="M33" s="21">
        <f t="shared" si="3"/>
        <v>0</v>
      </c>
      <c r="N33" s="35"/>
      <c r="O33" s="39"/>
      <c r="U33" s="41">
        <f t="shared" si="4"/>
        <v>0</v>
      </c>
      <c r="W33" s="41">
        <f t="shared" si="5"/>
        <v>0</v>
      </c>
      <c r="X33" s="41">
        <f t="shared" si="6"/>
        <v>0</v>
      </c>
      <c r="Y33" s="41">
        <f t="shared" si="7"/>
        <v>0</v>
      </c>
      <c r="Z33" s="41">
        <f t="shared" si="8"/>
        <v>0</v>
      </c>
      <c r="AA33" s="41">
        <f t="shared" si="9"/>
        <v>0</v>
      </c>
      <c r="AB33" s="41">
        <f t="shared" si="10"/>
        <v>0</v>
      </c>
      <c r="AC33" s="41">
        <f t="shared" si="11"/>
        <v>0</v>
      </c>
      <c r="AD33" s="31"/>
      <c r="AE33" s="21">
        <f t="shared" si="12"/>
        <v>0</v>
      </c>
      <c r="AF33" s="21">
        <f t="shared" si="13"/>
        <v>0</v>
      </c>
      <c r="AG33" s="21">
        <f t="shared" si="14"/>
        <v>0</v>
      </c>
      <c r="AI33" s="41">
        <v>21</v>
      </c>
      <c r="AJ33" s="41">
        <f t="shared" si="15"/>
        <v>0</v>
      </c>
      <c r="AK33" s="41">
        <f t="shared" si="16"/>
        <v>0</v>
      </c>
      <c r="AL33" s="42" t="s">
        <v>8</v>
      </c>
      <c r="AQ33" s="41">
        <f t="shared" si="17"/>
        <v>0</v>
      </c>
      <c r="AR33" s="41">
        <f t="shared" si="18"/>
        <v>0</v>
      </c>
      <c r="AS33" s="41">
        <f t="shared" si="19"/>
        <v>0</v>
      </c>
      <c r="AT33" s="44" t="s">
        <v>2428</v>
      </c>
      <c r="AU33" s="44" t="s">
        <v>2475</v>
      </c>
      <c r="AV33" s="31" t="s">
        <v>2486</v>
      </c>
      <c r="AX33" s="41">
        <f t="shared" si="20"/>
        <v>0</v>
      </c>
      <c r="AY33" s="41">
        <f t="shared" si="21"/>
        <v>0</v>
      </c>
      <c r="AZ33" s="41">
        <v>0</v>
      </c>
      <c r="BA33" s="41">
        <f t="shared" si="22"/>
        <v>0</v>
      </c>
      <c r="BC33" s="21">
        <f t="shared" si="23"/>
        <v>0</v>
      </c>
      <c r="BD33" s="21">
        <f t="shared" si="24"/>
        <v>0</v>
      </c>
      <c r="BE33" s="21">
        <f t="shared" si="25"/>
        <v>0</v>
      </c>
      <c r="BF33" s="21" t="s">
        <v>2492</v>
      </c>
      <c r="BG33" s="41">
        <v>22233</v>
      </c>
    </row>
    <row r="34" spans="1:59" x14ac:dyDescent="0.3">
      <c r="A34" s="4" t="s">
        <v>28</v>
      </c>
      <c r="B34" s="13"/>
      <c r="C34" s="13" t="s">
        <v>1029</v>
      </c>
      <c r="D34" s="101" t="s">
        <v>1651</v>
      </c>
      <c r="E34" s="102"/>
      <c r="F34" s="13" t="s">
        <v>2386</v>
      </c>
      <c r="G34" s="21">
        <v>1</v>
      </c>
      <c r="H34" s="21">
        <v>0</v>
      </c>
      <c r="I34" s="21">
        <f t="shared" si="0"/>
        <v>0</v>
      </c>
      <c r="J34" s="21">
        <f t="shared" si="1"/>
        <v>0</v>
      </c>
      <c r="K34" s="21">
        <f t="shared" si="2"/>
        <v>0</v>
      </c>
      <c r="L34" s="21">
        <v>0</v>
      </c>
      <c r="M34" s="21">
        <f t="shared" si="3"/>
        <v>0</v>
      </c>
      <c r="N34" s="35"/>
      <c r="O34" s="39"/>
      <c r="U34" s="41">
        <f t="shared" si="4"/>
        <v>0</v>
      </c>
      <c r="W34" s="41">
        <f t="shared" si="5"/>
        <v>0</v>
      </c>
      <c r="X34" s="41">
        <f t="shared" si="6"/>
        <v>0</v>
      </c>
      <c r="Y34" s="41">
        <f t="shared" si="7"/>
        <v>0</v>
      </c>
      <c r="Z34" s="41">
        <f t="shared" si="8"/>
        <v>0</v>
      </c>
      <c r="AA34" s="41">
        <f t="shared" si="9"/>
        <v>0</v>
      </c>
      <c r="AB34" s="41">
        <f t="shared" si="10"/>
        <v>0</v>
      </c>
      <c r="AC34" s="41">
        <f t="shared" si="11"/>
        <v>0</v>
      </c>
      <c r="AD34" s="31"/>
      <c r="AE34" s="21">
        <f t="shared" si="12"/>
        <v>0</v>
      </c>
      <c r="AF34" s="21">
        <f t="shared" si="13"/>
        <v>0</v>
      </c>
      <c r="AG34" s="21">
        <f t="shared" si="14"/>
        <v>0</v>
      </c>
      <c r="AI34" s="41">
        <v>21</v>
      </c>
      <c r="AJ34" s="41">
        <f t="shared" si="15"/>
        <v>0</v>
      </c>
      <c r="AK34" s="41">
        <f t="shared" si="16"/>
        <v>0</v>
      </c>
      <c r="AL34" s="42" t="s">
        <v>8</v>
      </c>
      <c r="AQ34" s="41">
        <f t="shared" si="17"/>
        <v>0</v>
      </c>
      <c r="AR34" s="41">
        <f t="shared" si="18"/>
        <v>0</v>
      </c>
      <c r="AS34" s="41">
        <f t="shared" si="19"/>
        <v>0</v>
      </c>
      <c r="AT34" s="44" t="s">
        <v>2428</v>
      </c>
      <c r="AU34" s="44" t="s">
        <v>2475</v>
      </c>
      <c r="AV34" s="31" t="s">
        <v>2486</v>
      </c>
      <c r="AX34" s="41">
        <f t="shared" si="20"/>
        <v>0</v>
      </c>
      <c r="AY34" s="41">
        <f t="shared" si="21"/>
        <v>0</v>
      </c>
      <c r="AZ34" s="41">
        <v>0</v>
      </c>
      <c r="BA34" s="41">
        <f t="shared" si="22"/>
        <v>0</v>
      </c>
      <c r="BC34" s="21">
        <f t="shared" si="23"/>
        <v>0</v>
      </c>
      <c r="BD34" s="21">
        <f t="shared" si="24"/>
        <v>0</v>
      </c>
      <c r="BE34" s="21">
        <f t="shared" si="25"/>
        <v>0</v>
      </c>
      <c r="BF34" s="21" t="s">
        <v>2492</v>
      </c>
      <c r="BG34" s="41">
        <v>22233</v>
      </c>
    </row>
    <row r="35" spans="1:59" x14ac:dyDescent="0.3">
      <c r="A35" s="4" t="s">
        <v>29</v>
      </c>
      <c r="B35" s="13"/>
      <c r="C35" s="13" t="s">
        <v>1030</v>
      </c>
      <c r="D35" s="101" t="s">
        <v>1652</v>
      </c>
      <c r="E35" s="102"/>
      <c r="F35" s="13" t="s">
        <v>2386</v>
      </c>
      <c r="G35" s="21">
        <v>1</v>
      </c>
      <c r="H35" s="21">
        <v>0</v>
      </c>
      <c r="I35" s="21">
        <f t="shared" si="0"/>
        <v>0</v>
      </c>
      <c r="J35" s="21">
        <f t="shared" si="1"/>
        <v>0</v>
      </c>
      <c r="K35" s="21">
        <f t="shared" si="2"/>
        <v>0</v>
      </c>
      <c r="L35" s="21">
        <v>0</v>
      </c>
      <c r="M35" s="21">
        <f t="shared" si="3"/>
        <v>0</v>
      </c>
      <c r="N35" s="35"/>
      <c r="O35" s="39"/>
      <c r="U35" s="41">
        <f t="shared" si="4"/>
        <v>0</v>
      </c>
      <c r="W35" s="41">
        <f t="shared" si="5"/>
        <v>0</v>
      </c>
      <c r="X35" s="41">
        <f t="shared" si="6"/>
        <v>0</v>
      </c>
      <c r="Y35" s="41">
        <f t="shared" si="7"/>
        <v>0</v>
      </c>
      <c r="Z35" s="41">
        <f t="shared" si="8"/>
        <v>0</v>
      </c>
      <c r="AA35" s="41">
        <f t="shared" si="9"/>
        <v>0</v>
      </c>
      <c r="AB35" s="41">
        <f t="shared" si="10"/>
        <v>0</v>
      </c>
      <c r="AC35" s="41">
        <f t="shared" si="11"/>
        <v>0</v>
      </c>
      <c r="AD35" s="31"/>
      <c r="AE35" s="21">
        <f t="shared" si="12"/>
        <v>0</v>
      </c>
      <c r="AF35" s="21">
        <f t="shared" si="13"/>
        <v>0</v>
      </c>
      <c r="AG35" s="21">
        <f t="shared" si="14"/>
        <v>0</v>
      </c>
      <c r="AI35" s="41">
        <v>21</v>
      </c>
      <c r="AJ35" s="41">
        <f t="shared" si="15"/>
        <v>0</v>
      </c>
      <c r="AK35" s="41">
        <f t="shared" si="16"/>
        <v>0</v>
      </c>
      <c r="AL35" s="42" t="s">
        <v>8</v>
      </c>
      <c r="AQ35" s="41">
        <f t="shared" si="17"/>
        <v>0</v>
      </c>
      <c r="AR35" s="41">
        <f t="shared" si="18"/>
        <v>0</v>
      </c>
      <c r="AS35" s="41">
        <f t="shared" si="19"/>
        <v>0</v>
      </c>
      <c r="AT35" s="44" t="s">
        <v>2428</v>
      </c>
      <c r="AU35" s="44" t="s">
        <v>2475</v>
      </c>
      <c r="AV35" s="31" t="s">
        <v>2486</v>
      </c>
      <c r="AX35" s="41">
        <f t="shared" si="20"/>
        <v>0</v>
      </c>
      <c r="AY35" s="41">
        <f t="shared" si="21"/>
        <v>0</v>
      </c>
      <c r="AZ35" s="41">
        <v>0</v>
      </c>
      <c r="BA35" s="41">
        <f t="shared" si="22"/>
        <v>0</v>
      </c>
      <c r="BC35" s="21">
        <f t="shared" si="23"/>
        <v>0</v>
      </c>
      <c r="BD35" s="21">
        <f t="shared" si="24"/>
        <v>0</v>
      </c>
      <c r="BE35" s="21">
        <f t="shared" si="25"/>
        <v>0</v>
      </c>
      <c r="BF35" s="21" t="s">
        <v>2492</v>
      </c>
      <c r="BG35" s="41">
        <v>22233</v>
      </c>
    </row>
    <row r="36" spans="1:59" x14ac:dyDescent="0.3">
      <c r="A36" s="4" t="s">
        <v>30</v>
      </c>
      <c r="B36" s="13"/>
      <c r="C36" s="13" t="s">
        <v>1031</v>
      </c>
      <c r="D36" s="101" t="s">
        <v>1653</v>
      </c>
      <c r="E36" s="102"/>
      <c r="F36" s="13" t="s">
        <v>2386</v>
      </c>
      <c r="G36" s="21">
        <v>1</v>
      </c>
      <c r="H36" s="21">
        <v>0</v>
      </c>
      <c r="I36" s="21">
        <f t="shared" si="0"/>
        <v>0</v>
      </c>
      <c r="J36" s="21">
        <f t="shared" si="1"/>
        <v>0</v>
      </c>
      <c r="K36" s="21">
        <f t="shared" si="2"/>
        <v>0</v>
      </c>
      <c r="L36" s="21">
        <v>0</v>
      </c>
      <c r="M36" s="21">
        <f t="shared" si="3"/>
        <v>0</v>
      </c>
      <c r="N36" s="35"/>
      <c r="O36" s="39"/>
      <c r="U36" s="41">
        <f t="shared" si="4"/>
        <v>0</v>
      </c>
      <c r="W36" s="41">
        <f t="shared" si="5"/>
        <v>0</v>
      </c>
      <c r="X36" s="41">
        <f t="shared" si="6"/>
        <v>0</v>
      </c>
      <c r="Y36" s="41">
        <f t="shared" si="7"/>
        <v>0</v>
      </c>
      <c r="Z36" s="41">
        <f t="shared" si="8"/>
        <v>0</v>
      </c>
      <c r="AA36" s="41">
        <f t="shared" si="9"/>
        <v>0</v>
      </c>
      <c r="AB36" s="41">
        <f t="shared" si="10"/>
        <v>0</v>
      </c>
      <c r="AC36" s="41">
        <f t="shared" si="11"/>
        <v>0</v>
      </c>
      <c r="AD36" s="31"/>
      <c r="AE36" s="21">
        <f t="shared" si="12"/>
        <v>0</v>
      </c>
      <c r="AF36" s="21">
        <f t="shared" si="13"/>
        <v>0</v>
      </c>
      <c r="AG36" s="21">
        <f t="shared" si="14"/>
        <v>0</v>
      </c>
      <c r="AI36" s="41">
        <v>21</v>
      </c>
      <c r="AJ36" s="41">
        <f t="shared" si="15"/>
        <v>0</v>
      </c>
      <c r="AK36" s="41">
        <f t="shared" si="16"/>
        <v>0</v>
      </c>
      <c r="AL36" s="42" t="s">
        <v>8</v>
      </c>
      <c r="AQ36" s="41">
        <f t="shared" si="17"/>
        <v>0</v>
      </c>
      <c r="AR36" s="41">
        <f t="shared" si="18"/>
        <v>0</v>
      </c>
      <c r="AS36" s="41">
        <f t="shared" si="19"/>
        <v>0</v>
      </c>
      <c r="AT36" s="44" t="s">
        <v>2428</v>
      </c>
      <c r="AU36" s="44" t="s">
        <v>2475</v>
      </c>
      <c r="AV36" s="31" t="s">
        <v>2486</v>
      </c>
      <c r="AX36" s="41">
        <f t="shared" si="20"/>
        <v>0</v>
      </c>
      <c r="AY36" s="41">
        <f t="shared" si="21"/>
        <v>0</v>
      </c>
      <c r="AZ36" s="41">
        <v>0</v>
      </c>
      <c r="BA36" s="41">
        <f t="shared" si="22"/>
        <v>0</v>
      </c>
      <c r="BC36" s="21">
        <f t="shared" si="23"/>
        <v>0</v>
      </c>
      <c r="BD36" s="21">
        <f t="shared" si="24"/>
        <v>0</v>
      </c>
      <c r="BE36" s="21">
        <f t="shared" si="25"/>
        <v>0</v>
      </c>
      <c r="BF36" s="21" t="s">
        <v>2492</v>
      </c>
      <c r="BG36" s="41">
        <v>22233</v>
      </c>
    </row>
    <row r="37" spans="1:59" x14ac:dyDescent="0.3">
      <c r="A37" s="4" t="s">
        <v>31</v>
      </c>
      <c r="B37" s="13"/>
      <c r="C37" s="13" t="s">
        <v>1032</v>
      </c>
      <c r="D37" s="101" t="s">
        <v>1654</v>
      </c>
      <c r="E37" s="102"/>
      <c r="F37" s="13" t="s">
        <v>2386</v>
      </c>
      <c r="G37" s="21">
        <v>1</v>
      </c>
      <c r="H37" s="21">
        <v>0</v>
      </c>
      <c r="I37" s="21">
        <f t="shared" si="0"/>
        <v>0</v>
      </c>
      <c r="J37" s="21">
        <f t="shared" si="1"/>
        <v>0</v>
      </c>
      <c r="K37" s="21">
        <f t="shared" si="2"/>
        <v>0</v>
      </c>
      <c r="L37" s="21">
        <v>0</v>
      </c>
      <c r="M37" s="21">
        <f t="shared" si="3"/>
        <v>0</v>
      </c>
      <c r="N37" s="35"/>
      <c r="O37" s="39"/>
      <c r="U37" s="41">
        <f t="shared" si="4"/>
        <v>0</v>
      </c>
      <c r="W37" s="41">
        <f t="shared" si="5"/>
        <v>0</v>
      </c>
      <c r="X37" s="41">
        <f t="shared" si="6"/>
        <v>0</v>
      </c>
      <c r="Y37" s="41">
        <f t="shared" si="7"/>
        <v>0</v>
      </c>
      <c r="Z37" s="41">
        <f t="shared" si="8"/>
        <v>0</v>
      </c>
      <c r="AA37" s="41">
        <f t="shared" si="9"/>
        <v>0</v>
      </c>
      <c r="AB37" s="41">
        <f t="shared" si="10"/>
        <v>0</v>
      </c>
      <c r="AC37" s="41">
        <f t="shared" si="11"/>
        <v>0</v>
      </c>
      <c r="AD37" s="31"/>
      <c r="AE37" s="21">
        <f t="shared" si="12"/>
        <v>0</v>
      </c>
      <c r="AF37" s="21">
        <f t="shared" si="13"/>
        <v>0</v>
      </c>
      <c r="AG37" s="21">
        <f t="shared" si="14"/>
        <v>0</v>
      </c>
      <c r="AI37" s="41">
        <v>21</v>
      </c>
      <c r="AJ37" s="41">
        <f t="shared" si="15"/>
        <v>0</v>
      </c>
      <c r="AK37" s="41">
        <f t="shared" si="16"/>
        <v>0</v>
      </c>
      <c r="AL37" s="42" t="s">
        <v>8</v>
      </c>
      <c r="AQ37" s="41">
        <f t="shared" si="17"/>
        <v>0</v>
      </c>
      <c r="AR37" s="41">
        <f t="shared" si="18"/>
        <v>0</v>
      </c>
      <c r="AS37" s="41">
        <f t="shared" si="19"/>
        <v>0</v>
      </c>
      <c r="AT37" s="44" t="s">
        <v>2428</v>
      </c>
      <c r="AU37" s="44" t="s">
        <v>2475</v>
      </c>
      <c r="AV37" s="31" t="s">
        <v>2486</v>
      </c>
      <c r="AX37" s="41">
        <f t="shared" si="20"/>
        <v>0</v>
      </c>
      <c r="AY37" s="41">
        <f t="shared" si="21"/>
        <v>0</v>
      </c>
      <c r="AZ37" s="41">
        <v>0</v>
      </c>
      <c r="BA37" s="41">
        <f t="shared" si="22"/>
        <v>0</v>
      </c>
      <c r="BC37" s="21">
        <f t="shared" si="23"/>
        <v>0</v>
      </c>
      <c r="BD37" s="21">
        <f t="shared" si="24"/>
        <v>0</v>
      </c>
      <c r="BE37" s="21">
        <f t="shared" si="25"/>
        <v>0</v>
      </c>
      <c r="BF37" s="21" t="s">
        <v>2492</v>
      </c>
      <c r="BG37" s="41">
        <v>22233</v>
      </c>
    </row>
    <row r="38" spans="1:59" x14ac:dyDescent="0.3">
      <c r="A38" s="4" t="s">
        <v>32</v>
      </c>
      <c r="B38" s="13"/>
      <c r="C38" s="13" t="s">
        <v>1033</v>
      </c>
      <c r="D38" s="101" t="s">
        <v>1655</v>
      </c>
      <c r="E38" s="102"/>
      <c r="F38" s="13" t="s">
        <v>2386</v>
      </c>
      <c r="G38" s="21">
        <v>1</v>
      </c>
      <c r="H38" s="21">
        <v>0</v>
      </c>
      <c r="I38" s="21">
        <f t="shared" si="0"/>
        <v>0</v>
      </c>
      <c r="J38" s="21">
        <f t="shared" si="1"/>
        <v>0</v>
      </c>
      <c r="K38" s="21">
        <f t="shared" si="2"/>
        <v>0</v>
      </c>
      <c r="L38" s="21">
        <v>0</v>
      </c>
      <c r="M38" s="21">
        <f t="shared" si="3"/>
        <v>0</v>
      </c>
      <c r="N38" s="35"/>
      <c r="O38" s="39"/>
      <c r="U38" s="41">
        <f t="shared" si="4"/>
        <v>0</v>
      </c>
      <c r="W38" s="41">
        <f t="shared" si="5"/>
        <v>0</v>
      </c>
      <c r="X38" s="41">
        <f t="shared" si="6"/>
        <v>0</v>
      </c>
      <c r="Y38" s="41">
        <f t="shared" si="7"/>
        <v>0</v>
      </c>
      <c r="Z38" s="41">
        <f t="shared" si="8"/>
        <v>0</v>
      </c>
      <c r="AA38" s="41">
        <f t="shared" si="9"/>
        <v>0</v>
      </c>
      <c r="AB38" s="41">
        <f t="shared" si="10"/>
        <v>0</v>
      </c>
      <c r="AC38" s="41">
        <f t="shared" si="11"/>
        <v>0</v>
      </c>
      <c r="AD38" s="31"/>
      <c r="AE38" s="21">
        <f t="shared" si="12"/>
        <v>0</v>
      </c>
      <c r="AF38" s="21">
        <f t="shared" si="13"/>
        <v>0</v>
      </c>
      <c r="AG38" s="21">
        <f t="shared" si="14"/>
        <v>0</v>
      </c>
      <c r="AI38" s="41">
        <v>21</v>
      </c>
      <c r="AJ38" s="41">
        <f t="shared" si="15"/>
        <v>0</v>
      </c>
      <c r="AK38" s="41">
        <f t="shared" si="16"/>
        <v>0</v>
      </c>
      <c r="AL38" s="42" t="s">
        <v>8</v>
      </c>
      <c r="AQ38" s="41">
        <f t="shared" si="17"/>
        <v>0</v>
      </c>
      <c r="AR38" s="41">
        <f t="shared" si="18"/>
        <v>0</v>
      </c>
      <c r="AS38" s="41">
        <f t="shared" si="19"/>
        <v>0</v>
      </c>
      <c r="AT38" s="44" t="s">
        <v>2428</v>
      </c>
      <c r="AU38" s="44" t="s">
        <v>2475</v>
      </c>
      <c r="AV38" s="31" t="s">
        <v>2486</v>
      </c>
      <c r="AX38" s="41">
        <f t="shared" si="20"/>
        <v>0</v>
      </c>
      <c r="AY38" s="41">
        <f t="shared" si="21"/>
        <v>0</v>
      </c>
      <c r="AZ38" s="41">
        <v>0</v>
      </c>
      <c r="BA38" s="41">
        <f t="shared" si="22"/>
        <v>0</v>
      </c>
      <c r="BC38" s="21">
        <f t="shared" si="23"/>
        <v>0</v>
      </c>
      <c r="BD38" s="21">
        <f t="shared" si="24"/>
        <v>0</v>
      </c>
      <c r="BE38" s="21">
        <f t="shared" si="25"/>
        <v>0</v>
      </c>
      <c r="BF38" s="21" t="s">
        <v>2492</v>
      </c>
      <c r="BG38" s="41">
        <v>22233</v>
      </c>
    </row>
    <row r="39" spans="1:59" x14ac:dyDescent="0.3">
      <c r="A39" s="4" t="s">
        <v>33</v>
      </c>
      <c r="B39" s="13"/>
      <c r="C39" s="13" t="s">
        <v>1034</v>
      </c>
      <c r="D39" s="101" t="s">
        <v>1656</v>
      </c>
      <c r="E39" s="102"/>
      <c r="F39" s="13" t="s">
        <v>2386</v>
      </c>
      <c r="G39" s="21">
        <v>1</v>
      </c>
      <c r="H39" s="21">
        <v>0</v>
      </c>
      <c r="I39" s="21">
        <f t="shared" si="0"/>
        <v>0</v>
      </c>
      <c r="J39" s="21">
        <f t="shared" si="1"/>
        <v>0</v>
      </c>
      <c r="K39" s="21">
        <f t="shared" si="2"/>
        <v>0</v>
      </c>
      <c r="L39" s="21">
        <v>0</v>
      </c>
      <c r="M39" s="21">
        <f t="shared" si="3"/>
        <v>0</v>
      </c>
      <c r="N39" s="35"/>
      <c r="O39" s="39"/>
      <c r="U39" s="41">
        <f t="shared" si="4"/>
        <v>0</v>
      </c>
      <c r="W39" s="41">
        <f t="shared" si="5"/>
        <v>0</v>
      </c>
      <c r="X39" s="41">
        <f t="shared" si="6"/>
        <v>0</v>
      </c>
      <c r="Y39" s="41">
        <f t="shared" si="7"/>
        <v>0</v>
      </c>
      <c r="Z39" s="41">
        <f t="shared" si="8"/>
        <v>0</v>
      </c>
      <c r="AA39" s="41">
        <f t="shared" si="9"/>
        <v>0</v>
      </c>
      <c r="AB39" s="41">
        <f t="shared" si="10"/>
        <v>0</v>
      </c>
      <c r="AC39" s="41">
        <f t="shared" si="11"/>
        <v>0</v>
      </c>
      <c r="AD39" s="31"/>
      <c r="AE39" s="21">
        <f t="shared" si="12"/>
        <v>0</v>
      </c>
      <c r="AF39" s="21">
        <f t="shared" si="13"/>
        <v>0</v>
      </c>
      <c r="AG39" s="21">
        <f t="shared" si="14"/>
        <v>0</v>
      </c>
      <c r="AI39" s="41">
        <v>21</v>
      </c>
      <c r="AJ39" s="41">
        <f t="shared" si="15"/>
        <v>0</v>
      </c>
      <c r="AK39" s="41">
        <f t="shared" si="16"/>
        <v>0</v>
      </c>
      <c r="AL39" s="42" t="s">
        <v>8</v>
      </c>
      <c r="AQ39" s="41">
        <f t="shared" si="17"/>
        <v>0</v>
      </c>
      <c r="AR39" s="41">
        <f t="shared" si="18"/>
        <v>0</v>
      </c>
      <c r="AS39" s="41">
        <f t="shared" si="19"/>
        <v>0</v>
      </c>
      <c r="AT39" s="44" t="s">
        <v>2428</v>
      </c>
      <c r="AU39" s="44" t="s">
        <v>2475</v>
      </c>
      <c r="AV39" s="31" t="s">
        <v>2486</v>
      </c>
      <c r="AX39" s="41">
        <f t="shared" si="20"/>
        <v>0</v>
      </c>
      <c r="AY39" s="41">
        <f t="shared" si="21"/>
        <v>0</v>
      </c>
      <c r="AZ39" s="41">
        <v>0</v>
      </c>
      <c r="BA39" s="41">
        <f t="shared" si="22"/>
        <v>0</v>
      </c>
      <c r="BC39" s="21">
        <f t="shared" si="23"/>
        <v>0</v>
      </c>
      <c r="BD39" s="21">
        <f t="shared" si="24"/>
        <v>0</v>
      </c>
      <c r="BE39" s="21">
        <f t="shared" si="25"/>
        <v>0</v>
      </c>
      <c r="BF39" s="21" t="s">
        <v>2492</v>
      </c>
      <c r="BG39" s="41">
        <v>22233</v>
      </c>
    </row>
    <row r="40" spans="1:59" x14ac:dyDescent="0.3">
      <c r="A40" s="4" t="s">
        <v>34</v>
      </c>
      <c r="B40" s="13"/>
      <c r="C40" s="13" t="s">
        <v>1035</v>
      </c>
      <c r="D40" s="101" t="s">
        <v>1657</v>
      </c>
      <c r="E40" s="102"/>
      <c r="F40" s="13" t="s">
        <v>2386</v>
      </c>
      <c r="G40" s="21">
        <v>1</v>
      </c>
      <c r="H40" s="21">
        <v>0</v>
      </c>
      <c r="I40" s="21">
        <f t="shared" si="0"/>
        <v>0</v>
      </c>
      <c r="J40" s="21">
        <f t="shared" si="1"/>
        <v>0</v>
      </c>
      <c r="K40" s="21">
        <f t="shared" si="2"/>
        <v>0</v>
      </c>
      <c r="L40" s="21">
        <v>0</v>
      </c>
      <c r="M40" s="21">
        <f t="shared" si="3"/>
        <v>0</v>
      </c>
      <c r="N40" s="35"/>
      <c r="O40" s="39"/>
      <c r="U40" s="41">
        <f t="shared" si="4"/>
        <v>0</v>
      </c>
      <c r="W40" s="41">
        <f t="shared" si="5"/>
        <v>0</v>
      </c>
      <c r="X40" s="41">
        <f t="shared" si="6"/>
        <v>0</v>
      </c>
      <c r="Y40" s="41">
        <f t="shared" si="7"/>
        <v>0</v>
      </c>
      <c r="Z40" s="41">
        <f t="shared" si="8"/>
        <v>0</v>
      </c>
      <c r="AA40" s="41">
        <f t="shared" si="9"/>
        <v>0</v>
      </c>
      <c r="AB40" s="41">
        <f t="shared" si="10"/>
        <v>0</v>
      </c>
      <c r="AC40" s="41">
        <f t="shared" si="11"/>
        <v>0</v>
      </c>
      <c r="AD40" s="31"/>
      <c r="AE40" s="21">
        <f t="shared" si="12"/>
        <v>0</v>
      </c>
      <c r="AF40" s="21">
        <f t="shared" si="13"/>
        <v>0</v>
      </c>
      <c r="AG40" s="21">
        <f t="shared" si="14"/>
        <v>0</v>
      </c>
      <c r="AI40" s="41">
        <v>21</v>
      </c>
      <c r="AJ40" s="41">
        <f t="shared" si="15"/>
        <v>0</v>
      </c>
      <c r="AK40" s="41">
        <f t="shared" si="16"/>
        <v>0</v>
      </c>
      <c r="AL40" s="42" t="s">
        <v>8</v>
      </c>
      <c r="AQ40" s="41">
        <f t="shared" si="17"/>
        <v>0</v>
      </c>
      <c r="AR40" s="41">
        <f t="shared" si="18"/>
        <v>0</v>
      </c>
      <c r="AS40" s="41">
        <f t="shared" si="19"/>
        <v>0</v>
      </c>
      <c r="AT40" s="44" t="s">
        <v>2428</v>
      </c>
      <c r="AU40" s="44" t="s">
        <v>2475</v>
      </c>
      <c r="AV40" s="31" t="s">
        <v>2486</v>
      </c>
      <c r="AX40" s="41">
        <f t="shared" si="20"/>
        <v>0</v>
      </c>
      <c r="AY40" s="41">
        <f t="shared" si="21"/>
        <v>0</v>
      </c>
      <c r="AZ40" s="41">
        <v>0</v>
      </c>
      <c r="BA40" s="41">
        <f t="shared" si="22"/>
        <v>0</v>
      </c>
      <c r="BC40" s="21">
        <f t="shared" si="23"/>
        <v>0</v>
      </c>
      <c r="BD40" s="21">
        <f t="shared" si="24"/>
        <v>0</v>
      </c>
      <c r="BE40" s="21">
        <f t="shared" si="25"/>
        <v>0</v>
      </c>
      <c r="BF40" s="21" t="s">
        <v>2492</v>
      </c>
      <c r="BG40" s="41">
        <v>22233</v>
      </c>
    </row>
    <row r="41" spans="1:59" x14ac:dyDescent="0.3">
      <c r="A41" s="4" t="s">
        <v>35</v>
      </c>
      <c r="B41" s="13"/>
      <c r="C41" s="13" t="s">
        <v>1036</v>
      </c>
      <c r="D41" s="101" t="s">
        <v>1658</v>
      </c>
      <c r="E41" s="102"/>
      <c r="F41" s="13" t="s">
        <v>2386</v>
      </c>
      <c r="G41" s="21">
        <v>1</v>
      </c>
      <c r="H41" s="21">
        <v>0</v>
      </c>
      <c r="I41" s="21">
        <f t="shared" si="0"/>
        <v>0</v>
      </c>
      <c r="J41" s="21">
        <f t="shared" si="1"/>
        <v>0</v>
      </c>
      <c r="K41" s="21">
        <f t="shared" si="2"/>
        <v>0</v>
      </c>
      <c r="L41" s="21">
        <v>0</v>
      </c>
      <c r="M41" s="21">
        <f t="shared" si="3"/>
        <v>0</v>
      </c>
      <c r="N41" s="35"/>
      <c r="O41" s="39"/>
      <c r="U41" s="41">
        <f t="shared" si="4"/>
        <v>0</v>
      </c>
      <c r="W41" s="41">
        <f t="shared" si="5"/>
        <v>0</v>
      </c>
      <c r="X41" s="41">
        <f t="shared" si="6"/>
        <v>0</v>
      </c>
      <c r="Y41" s="41">
        <f t="shared" si="7"/>
        <v>0</v>
      </c>
      <c r="Z41" s="41">
        <f t="shared" si="8"/>
        <v>0</v>
      </c>
      <c r="AA41" s="41">
        <f t="shared" si="9"/>
        <v>0</v>
      </c>
      <c r="AB41" s="41">
        <f t="shared" si="10"/>
        <v>0</v>
      </c>
      <c r="AC41" s="41">
        <f t="shared" si="11"/>
        <v>0</v>
      </c>
      <c r="AD41" s="31"/>
      <c r="AE41" s="21">
        <f t="shared" si="12"/>
        <v>0</v>
      </c>
      <c r="AF41" s="21">
        <f t="shared" si="13"/>
        <v>0</v>
      </c>
      <c r="AG41" s="21">
        <f t="shared" si="14"/>
        <v>0</v>
      </c>
      <c r="AI41" s="41">
        <v>21</v>
      </c>
      <c r="AJ41" s="41">
        <f t="shared" si="15"/>
        <v>0</v>
      </c>
      <c r="AK41" s="41">
        <f t="shared" si="16"/>
        <v>0</v>
      </c>
      <c r="AL41" s="42" t="s">
        <v>8</v>
      </c>
      <c r="AQ41" s="41">
        <f t="shared" si="17"/>
        <v>0</v>
      </c>
      <c r="AR41" s="41">
        <f t="shared" si="18"/>
        <v>0</v>
      </c>
      <c r="AS41" s="41">
        <f t="shared" si="19"/>
        <v>0</v>
      </c>
      <c r="AT41" s="44" t="s">
        <v>2428</v>
      </c>
      <c r="AU41" s="44" t="s">
        <v>2475</v>
      </c>
      <c r="AV41" s="31" t="s">
        <v>2486</v>
      </c>
      <c r="AX41" s="41">
        <f t="shared" si="20"/>
        <v>0</v>
      </c>
      <c r="AY41" s="41">
        <f t="shared" si="21"/>
        <v>0</v>
      </c>
      <c r="AZ41" s="41">
        <v>0</v>
      </c>
      <c r="BA41" s="41">
        <f t="shared" si="22"/>
        <v>0</v>
      </c>
      <c r="BC41" s="21">
        <f t="shared" si="23"/>
        <v>0</v>
      </c>
      <c r="BD41" s="21">
        <f t="shared" si="24"/>
        <v>0</v>
      </c>
      <c r="BE41" s="21">
        <f t="shared" si="25"/>
        <v>0</v>
      </c>
      <c r="BF41" s="21" t="s">
        <v>2492</v>
      </c>
      <c r="BG41" s="41">
        <v>22233</v>
      </c>
    </row>
    <row r="42" spans="1:59" x14ac:dyDescent="0.3">
      <c r="A42" s="4" t="s">
        <v>36</v>
      </c>
      <c r="B42" s="13"/>
      <c r="C42" s="13" t="s">
        <v>1037</v>
      </c>
      <c r="D42" s="101" t="s">
        <v>1659</v>
      </c>
      <c r="E42" s="102"/>
      <c r="F42" s="13" t="s">
        <v>2386</v>
      </c>
      <c r="G42" s="21">
        <v>1</v>
      </c>
      <c r="H42" s="21">
        <v>0</v>
      </c>
      <c r="I42" s="21">
        <f t="shared" si="0"/>
        <v>0</v>
      </c>
      <c r="J42" s="21">
        <f t="shared" si="1"/>
        <v>0</v>
      </c>
      <c r="K42" s="21">
        <f t="shared" si="2"/>
        <v>0</v>
      </c>
      <c r="L42" s="21">
        <v>0</v>
      </c>
      <c r="M42" s="21">
        <f t="shared" si="3"/>
        <v>0</v>
      </c>
      <c r="N42" s="35"/>
      <c r="O42" s="39"/>
      <c r="U42" s="41">
        <f t="shared" si="4"/>
        <v>0</v>
      </c>
      <c r="W42" s="41">
        <f t="shared" si="5"/>
        <v>0</v>
      </c>
      <c r="X42" s="41">
        <f t="shared" si="6"/>
        <v>0</v>
      </c>
      <c r="Y42" s="41">
        <f t="shared" si="7"/>
        <v>0</v>
      </c>
      <c r="Z42" s="41">
        <f t="shared" si="8"/>
        <v>0</v>
      </c>
      <c r="AA42" s="41">
        <f t="shared" si="9"/>
        <v>0</v>
      </c>
      <c r="AB42" s="41">
        <f t="shared" si="10"/>
        <v>0</v>
      </c>
      <c r="AC42" s="41">
        <f t="shared" si="11"/>
        <v>0</v>
      </c>
      <c r="AD42" s="31"/>
      <c r="AE42" s="21">
        <f t="shared" si="12"/>
        <v>0</v>
      </c>
      <c r="AF42" s="21">
        <f t="shared" si="13"/>
        <v>0</v>
      </c>
      <c r="AG42" s="21">
        <f t="shared" si="14"/>
        <v>0</v>
      </c>
      <c r="AI42" s="41">
        <v>21</v>
      </c>
      <c r="AJ42" s="41">
        <f t="shared" si="15"/>
        <v>0</v>
      </c>
      <c r="AK42" s="41">
        <f t="shared" si="16"/>
        <v>0</v>
      </c>
      <c r="AL42" s="42" t="s">
        <v>8</v>
      </c>
      <c r="AQ42" s="41">
        <f t="shared" si="17"/>
        <v>0</v>
      </c>
      <c r="AR42" s="41">
        <f t="shared" si="18"/>
        <v>0</v>
      </c>
      <c r="AS42" s="41">
        <f t="shared" si="19"/>
        <v>0</v>
      </c>
      <c r="AT42" s="44" t="s">
        <v>2428</v>
      </c>
      <c r="AU42" s="44" t="s">
        <v>2475</v>
      </c>
      <c r="AV42" s="31" t="s">
        <v>2486</v>
      </c>
      <c r="AX42" s="41">
        <f t="shared" si="20"/>
        <v>0</v>
      </c>
      <c r="AY42" s="41">
        <f t="shared" si="21"/>
        <v>0</v>
      </c>
      <c r="AZ42" s="41">
        <v>0</v>
      </c>
      <c r="BA42" s="41">
        <f t="shared" si="22"/>
        <v>0</v>
      </c>
      <c r="BC42" s="21">
        <f t="shared" si="23"/>
        <v>0</v>
      </c>
      <c r="BD42" s="21">
        <f t="shared" si="24"/>
        <v>0</v>
      </c>
      <c r="BE42" s="21">
        <f t="shared" si="25"/>
        <v>0</v>
      </c>
      <c r="BF42" s="21" t="s">
        <v>2492</v>
      </c>
      <c r="BG42" s="41">
        <v>22233</v>
      </c>
    </row>
    <row r="43" spans="1:59" x14ac:dyDescent="0.3">
      <c r="A43" s="4" t="s">
        <v>37</v>
      </c>
      <c r="B43" s="13"/>
      <c r="C43" s="13" t="s">
        <v>1038</v>
      </c>
      <c r="D43" s="101" t="s">
        <v>1660</v>
      </c>
      <c r="E43" s="102"/>
      <c r="F43" s="13" t="s">
        <v>2386</v>
      </c>
      <c r="G43" s="21">
        <v>1</v>
      </c>
      <c r="H43" s="21">
        <v>0</v>
      </c>
      <c r="I43" s="21">
        <f t="shared" si="0"/>
        <v>0</v>
      </c>
      <c r="J43" s="21">
        <f t="shared" si="1"/>
        <v>0</v>
      </c>
      <c r="K43" s="21">
        <f t="shared" si="2"/>
        <v>0</v>
      </c>
      <c r="L43" s="21">
        <v>0</v>
      </c>
      <c r="M43" s="21">
        <f t="shared" si="3"/>
        <v>0</v>
      </c>
      <c r="N43" s="35"/>
      <c r="O43" s="39"/>
      <c r="U43" s="41">
        <f t="shared" si="4"/>
        <v>0</v>
      </c>
      <c r="W43" s="41">
        <f t="shared" si="5"/>
        <v>0</v>
      </c>
      <c r="X43" s="41">
        <f t="shared" si="6"/>
        <v>0</v>
      </c>
      <c r="Y43" s="41">
        <f t="shared" si="7"/>
        <v>0</v>
      </c>
      <c r="Z43" s="41">
        <f t="shared" si="8"/>
        <v>0</v>
      </c>
      <c r="AA43" s="41">
        <f t="shared" si="9"/>
        <v>0</v>
      </c>
      <c r="AB43" s="41">
        <f t="shared" si="10"/>
        <v>0</v>
      </c>
      <c r="AC43" s="41">
        <f t="shared" si="11"/>
        <v>0</v>
      </c>
      <c r="AD43" s="31"/>
      <c r="AE43" s="21">
        <f t="shared" si="12"/>
        <v>0</v>
      </c>
      <c r="AF43" s="21">
        <f t="shared" si="13"/>
        <v>0</v>
      </c>
      <c r="AG43" s="21">
        <f t="shared" si="14"/>
        <v>0</v>
      </c>
      <c r="AI43" s="41">
        <v>21</v>
      </c>
      <c r="AJ43" s="41">
        <f t="shared" si="15"/>
        <v>0</v>
      </c>
      <c r="AK43" s="41">
        <f t="shared" si="16"/>
        <v>0</v>
      </c>
      <c r="AL43" s="42" t="s">
        <v>8</v>
      </c>
      <c r="AQ43" s="41">
        <f t="shared" si="17"/>
        <v>0</v>
      </c>
      <c r="AR43" s="41">
        <f t="shared" si="18"/>
        <v>0</v>
      </c>
      <c r="AS43" s="41">
        <f t="shared" si="19"/>
        <v>0</v>
      </c>
      <c r="AT43" s="44" t="s">
        <v>2428</v>
      </c>
      <c r="AU43" s="44" t="s">
        <v>2475</v>
      </c>
      <c r="AV43" s="31" t="s">
        <v>2486</v>
      </c>
      <c r="AX43" s="41">
        <f t="shared" si="20"/>
        <v>0</v>
      </c>
      <c r="AY43" s="41">
        <f t="shared" si="21"/>
        <v>0</v>
      </c>
      <c r="AZ43" s="41">
        <v>0</v>
      </c>
      <c r="BA43" s="41">
        <f t="shared" si="22"/>
        <v>0</v>
      </c>
      <c r="BC43" s="21">
        <f t="shared" si="23"/>
        <v>0</v>
      </c>
      <c r="BD43" s="21">
        <f t="shared" si="24"/>
        <v>0</v>
      </c>
      <c r="BE43" s="21">
        <f t="shared" si="25"/>
        <v>0</v>
      </c>
      <c r="BF43" s="21" t="s">
        <v>2492</v>
      </c>
      <c r="BG43" s="41">
        <v>22233</v>
      </c>
    </row>
    <row r="44" spans="1:59" x14ac:dyDescent="0.3">
      <c r="A44" s="4" t="s">
        <v>38</v>
      </c>
      <c r="B44" s="13"/>
      <c r="C44" s="13" t="s">
        <v>1039</v>
      </c>
      <c r="D44" s="101" t="s">
        <v>1661</v>
      </c>
      <c r="E44" s="102"/>
      <c r="F44" s="13" t="s">
        <v>2386</v>
      </c>
      <c r="G44" s="21">
        <v>1</v>
      </c>
      <c r="H44" s="21">
        <v>0</v>
      </c>
      <c r="I44" s="21">
        <f t="shared" si="0"/>
        <v>0</v>
      </c>
      <c r="J44" s="21">
        <f t="shared" si="1"/>
        <v>0</v>
      </c>
      <c r="K44" s="21">
        <f t="shared" si="2"/>
        <v>0</v>
      </c>
      <c r="L44" s="21">
        <v>0</v>
      </c>
      <c r="M44" s="21">
        <f t="shared" si="3"/>
        <v>0</v>
      </c>
      <c r="N44" s="35"/>
      <c r="O44" s="39"/>
      <c r="U44" s="41">
        <f t="shared" si="4"/>
        <v>0</v>
      </c>
      <c r="W44" s="41">
        <f t="shared" si="5"/>
        <v>0</v>
      </c>
      <c r="X44" s="41">
        <f t="shared" si="6"/>
        <v>0</v>
      </c>
      <c r="Y44" s="41">
        <f t="shared" si="7"/>
        <v>0</v>
      </c>
      <c r="Z44" s="41">
        <f t="shared" si="8"/>
        <v>0</v>
      </c>
      <c r="AA44" s="41">
        <f t="shared" si="9"/>
        <v>0</v>
      </c>
      <c r="AB44" s="41">
        <f t="shared" si="10"/>
        <v>0</v>
      </c>
      <c r="AC44" s="41">
        <f t="shared" si="11"/>
        <v>0</v>
      </c>
      <c r="AD44" s="31"/>
      <c r="AE44" s="21">
        <f t="shared" si="12"/>
        <v>0</v>
      </c>
      <c r="AF44" s="21">
        <f t="shared" si="13"/>
        <v>0</v>
      </c>
      <c r="AG44" s="21">
        <f t="shared" si="14"/>
        <v>0</v>
      </c>
      <c r="AI44" s="41">
        <v>21</v>
      </c>
      <c r="AJ44" s="41">
        <f t="shared" si="15"/>
        <v>0</v>
      </c>
      <c r="AK44" s="41">
        <f t="shared" si="16"/>
        <v>0</v>
      </c>
      <c r="AL44" s="42" t="s">
        <v>8</v>
      </c>
      <c r="AQ44" s="41">
        <f t="shared" si="17"/>
        <v>0</v>
      </c>
      <c r="AR44" s="41">
        <f t="shared" si="18"/>
        <v>0</v>
      </c>
      <c r="AS44" s="41">
        <f t="shared" si="19"/>
        <v>0</v>
      </c>
      <c r="AT44" s="44" t="s">
        <v>2428</v>
      </c>
      <c r="AU44" s="44" t="s">
        <v>2475</v>
      </c>
      <c r="AV44" s="31" t="s">
        <v>2486</v>
      </c>
      <c r="AX44" s="41">
        <f t="shared" si="20"/>
        <v>0</v>
      </c>
      <c r="AY44" s="41">
        <f t="shared" si="21"/>
        <v>0</v>
      </c>
      <c r="AZ44" s="41">
        <v>0</v>
      </c>
      <c r="BA44" s="41">
        <f t="shared" si="22"/>
        <v>0</v>
      </c>
      <c r="BC44" s="21">
        <f t="shared" si="23"/>
        <v>0</v>
      </c>
      <c r="BD44" s="21">
        <f t="shared" si="24"/>
        <v>0</v>
      </c>
      <c r="BE44" s="21">
        <f t="shared" si="25"/>
        <v>0</v>
      </c>
      <c r="BF44" s="21" t="s">
        <v>2492</v>
      </c>
      <c r="BG44" s="41">
        <v>22233</v>
      </c>
    </row>
    <row r="45" spans="1:59" x14ac:dyDescent="0.3">
      <c r="A45" s="4" t="s">
        <v>39</v>
      </c>
      <c r="B45" s="13"/>
      <c r="C45" s="13" t="s">
        <v>1040</v>
      </c>
      <c r="D45" s="101" t="s">
        <v>1662</v>
      </c>
      <c r="E45" s="102"/>
      <c r="F45" s="13" t="s">
        <v>2386</v>
      </c>
      <c r="G45" s="21">
        <v>1</v>
      </c>
      <c r="H45" s="21">
        <v>0</v>
      </c>
      <c r="I45" s="21">
        <f t="shared" si="0"/>
        <v>0</v>
      </c>
      <c r="J45" s="21">
        <f t="shared" si="1"/>
        <v>0</v>
      </c>
      <c r="K45" s="21">
        <f t="shared" si="2"/>
        <v>0</v>
      </c>
      <c r="L45" s="21">
        <v>0</v>
      </c>
      <c r="M45" s="21">
        <f t="shared" si="3"/>
        <v>0</v>
      </c>
      <c r="N45" s="35"/>
      <c r="O45" s="39"/>
      <c r="U45" s="41">
        <f t="shared" si="4"/>
        <v>0</v>
      </c>
      <c r="W45" s="41">
        <f t="shared" si="5"/>
        <v>0</v>
      </c>
      <c r="X45" s="41">
        <f t="shared" si="6"/>
        <v>0</v>
      </c>
      <c r="Y45" s="41">
        <f t="shared" si="7"/>
        <v>0</v>
      </c>
      <c r="Z45" s="41">
        <f t="shared" si="8"/>
        <v>0</v>
      </c>
      <c r="AA45" s="41">
        <f t="shared" si="9"/>
        <v>0</v>
      </c>
      <c r="AB45" s="41">
        <f t="shared" si="10"/>
        <v>0</v>
      </c>
      <c r="AC45" s="41">
        <f t="shared" si="11"/>
        <v>0</v>
      </c>
      <c r="AD45" s="31"/>
      <c r="AE45" s="21">
        <f t="shared" si="12"/>
        <v>0</v>
      </c>
      <c r="AF45" s="21">
        <f t="shared" si="13"/>
        <v>0</v>
      </c>
      <c r="AG45" s="21">
        <f t="shared" si="14"/>
        <v>0</v>
      </c>
      <c r="AI45" s="41">
        <v>21</v>
      </c>
      <c r="AJ45" s="41">
        <f t="shared" si="15"/>
        <v>0</v>
      </c>
      <c r="AK45" s="41">
        <f t="shared" si="16"/>
        <v>0</v>
      </c>
      <c r="AL45" s="42" t="s">
        <v>8</v>
      </c>
      <c r="AQ45" s="41">
        <f t="shared" si="17"/>
        <v>0</v>
      </c>
      <c r="AR45" s="41">
        <f t="shared" si="18"/>
        <v>0</v>
      </c>
      <c r="AS45" s="41">
        <f t="shared" si="19"/>
        <v>0</v>
      </c>
      <c r="AT45" s="44" t="s">
        <v>2428</v>
      </c>
      <c r="AU45" s="44" t="s">
        <v>2475</v>
      </c>
      <c r="AV45" s="31" t="s">
        <v>2486</v>
      </c>
      <c r="AX45" s="41">
        <f t="shared" si="20"/>
        <v>0</v>
      </c>
      <c r="AY45" s="41">
        <f t="shared" si="21"/>
        <v>0</v>
      </c>
      <c r="AZ45" s="41">
        <v>0</v>
      </c>
      <c r="BA45" s="41">
        <f t="shared" si="22"/>
        <v>0</v>
      </c>
      <c r="BC45" s="21">
        <f t="shared" si="23"/>
        <v>0</v>
      </c>
      <c r="BD45" s="21">
        <f t="shared" si="24"/>
        <v>0</v>
      </c>
      <c r="BE45" s="21">
        <f t="shared" si="25"/>
        <v>0</v>
      </c>
      <c r="BF45" s="21" t="s">
        <v>2492</v>
      </c>
      <c r="BG45" s="41">
        <v>22233</v>
      </c>
    </row>
    <row r="46" spans="1:59" x14ac:dyDescent="0.3">
      <c r="A46" s="4" t="s">
        <v>40</v>
      </c>
      <c r="B46" s="13"/>
      <c r="C46" s="13" t="s">
        <v>1041</v>
      </c>
      <c r="D46" s="101" t="s">
        <v>1663</v>
      </c>
      <c r="E46" s="102"/>
      <c r="F46" s="13" t="s">
        <v>2386</v>
      </c>
      <c r="G46" s="21">
        <v>1</v>
      </c>
      <c r="H46" s="21">
        <v>0</v>
      </c>
      <c r="I46" s="21">
        <f t="shared" si="0"/>
        <v>0</v>
      </c>
      <c r="J46" s="21">
        <f t="shared" si="1"/>
        <v>0</v>
      </c>
      <c r="K46" s="21">
        <f t="shared" si="2"/>
        <v>0</v>
      </c>
      <c r="L46" s="21">
        <v>0</v>
      </c>
      <c r="M46" s="21">
        <f t="shared" si="3"/>
        <v>0</v>
      </c>
      <c r="N46" s="35"/>
      <c r="O46" s="39"/>
      <c r="U46" s="41">
        <f t="shared" si="4"/>
        <v>0</v>
      </c>
      <c r="W46" s="41">
        <f t="shared" si="5"/>
        <v>0</v>
      </c>
      <c r="X46" s="41">
        <f t="shared" si="6"/>
        <v>0</v>
      </c>
      <c r="Y46" s="41">
        <f t="shared" si="7"/>
        <v>0</v>
      </c>
      <c r="Z46" s="41">
        <f t="shared" si="8"/>
        <v>0</v>
      </c>
      <c r="AA46" s="41">
        <f t="shared" si="9"/>
        <v>0</v>
      </c>
      <c r="AB46" s="41">
        <f t="shared" si="10"/>
        <v>0</v>
      </c>
      <c r="AC46" s="41">
        <f t="shared" si="11"/>
        <v>0</v>
      </c>
      <c r="AD46" s="31"/>
      <c r="AE46" s="21">
        <f t="shared" si="12"/>
        <v>0</v>
      </c>
      <c r="AF46" s="21">
        <f t="shared" si="13"/>
        <v>0</v>
      </c>
      <c r="AG46" s="21">
        <f t="shared" si="14"/>
        <v>0</v>
      </c>
      <c r="AI46" s="41">
        <v>21</v>
      </c>
      <c r="AJ46" s="41">
        <f t="shared" si="15"/>
        <v>0</v>
      </c>
      <c r="AK46" s="41">
        <f t="shared" si="16"/>
        <v>0</v>
      </c>
      <c r="AL46" s="42" t="s">
        <v>8</v>
      </c>
      <c r="AQ46" s="41">
        <f t="shared" si="17"/>
        <v>0</v>
      </c>
      <c r="AR46" s="41">
        <f t="shared" si="18"/>
        <v>0</v>
      </c>
      <c r="AS46" s="41">
        <f t="shared" si="19"/>
        <v>0</v>
      </c>
      <c r="AT46" s="44" t="s">
        <v>2428</v>
      </c>
      <c r="AU46" s="44" t="s">
        <v>2475</v>
      </c>
      <c r="AV46" s="31" t="s">
        <v>2486</v>
      </c>
      <c r="AX46" s="41">
        <f t="shared" si="20"/>
        <v>0</v>
      </c>
      <c r="AY46" s="41">
        <f t="shared" si="21"/>
        <v>0</v>
      </c>
      <c r="AZ46" s="41">
        <v>0</v>
      </c>
      <c r="BA46" s="41">
        <f t="shared" si="22"/>
        <v>0</v>
      </c>
      <c r="BC46" s="21">
        <f t="shared" si="23"/>
        <v>0</v>
      </c>
      <c r="BD46" s="21">
        <f t="shared" si="24"/>
        <v>0</v>
      </c>
      <c r="BE46" s="21">
        <f t="shared" si="25"/>
        <v>0</v>
      </c>
      <c r="BF46" s="21" t="s">
        <v>2492</v>
      </c>
      <c r="BG46" s="41">
        <v>22233</v>
      </c>
    </row>
    <row r="47" spans="1:59" x14ac:dyDescent="0.3">
      <c r="A47" s="4" t="s">
        <v>41</v>
      </c>
      <c r="B47" s="13"/>
      <c r="C47" s="13" t="s">
        <v>1042</v>
      </c>
      <c r="D47" s="101" t="s">
        <v>1664</v>
      </c>
      <c r="E47" s="102"/>
      <c r="F47" s="13" t="s">
        <v>2386</v>
      </c>
      <c r="G47" s="21">
        <v>1</v>
      </c>
      <c r="H47" s="21">
        <v>0</v>
      </c>
      <c r="I47" s="21">
        <f t="shared" si="0"/>
        <v>0</v>
      </c>
      <c r="J47" s="21">
        <f t="shared" si="1"/>
        <v>0</v>
      </c>
      <c r="K47" s="21">
        <f t="shared" si="2"/>
        <v>0</v>
      </c>
      <c r="L47" s="21">
        <v>0</v>
      </c>
      <c r="M47" s="21">
        <f t="shared" si="3"/>
        <v>0</v>
      </c>
      <c r="N47" s="35"/>
      <c r="O47" s="39"/>
      <c r="U47" s="41">
        <f t="shared" si="4"/>
        <v>0</v>
      </c>
      <c r="W47" s="41">
        <f t="shared" si="5"/>
        <v>0</v>
      </c>
      <c r="X47" s="41">
        <f t="shared" si="6"/>
        <v>0</v>
      </c>
      <c r="Y47" s="41">
        <f t="shared" si="7"/>
        <v>0</v>
      </c>
      <c r="Z47" s="41">
        <f t="shared" si="8"/>
        <v>0</v>
      </c>
      <c r="AA47" s="41">
        <f t="shared" si="9"/>
        <v>0</v>
      </c>
      <c r="AB47" s="41">
        <f t="shared" si="10"/>
        <v>0</v>
      </c>
      <c r="AC47" s="41">
        <f t="shared" si="11"/>
        <v>0</v>
      </c>
      <c r="AD47" s="31"/>
      <c r="AE47" s="21">
        <f t="shared" si="12"/>
        <v>0</v>
      </c>
      <c r="AF47" s="21">
        <f t="shared" si="13"/>
        <v>0</v>
      </c>
      <c r="AG47" s="21">
        <f t="shared" si="14"/>
        <v>0</v>
      </c>
      <c r="AI47" s="41">
        <v>21</v>
      </c>
      <c r="AJ47" s="41">
        <f t="shared" si="15"/>
        <v>0</v>
      </c>
      <c r="AK47" s="41">
        <f t="shared" si="16"/>
        <v>0</v>
      </c>
      <c r="AL47" s="42" t="s">
        <v>8</v>
      </c>
      <c r="AQ47" s="41">
        <f t="shared" si="17"/>
        <v>0</v>
      </c>
      <c r="AR47" s="41">
        <f t="shared" si="18"/>
        <v>0</v>
      </c>
      <c r="AS47" s="41">
        <f t="shared" si="19"/>
        <v>0</v>
      </c>
      <c r="AT47" s="44" t="s">
        <v>2428</v>
      </c>
      <c r="AU47" s="44" t="s">
        <v>2475</v>
      </c>
      <c r="AV47" s="31" t="s">
        <v>2486</v>
      </c>
      <c r="AX47" s="41">
        <f t="shared" si="20"/>
        <v>0</v>
      </c>
      <c r="AY47" s="41">
        <f t="shared" si="21"/>
        <v>0</v>
      </c>
      <c r="AZ47" s="41">
        <v>0</v>
      </c>
      <c r="BA47" s="41">
        <f t="shared" si="22"/>
        <v>0</v>
      </c>
      <c r="BC47" s="21">
        <f t="shared" si="23"/>
        <v>0</v>
      </c>
      <c r="BD47" s="21">
        <f t="shared" si="24"/>
        <v>0</v>
      </c>
      <c r="BE47" s="21">
        <f t="shared" si="25"/>
        <v>0</v>
      </c>
      <c r="BF47" s="21" t="s">
        <v>2492</v>
      </c>
      <c r="BG47" s="41">
        <v>22233</v>
      </c>
    </row>
    <row r="48" spans="1:59" x14ac:dyDescent="0.3">
      <c r="A48" s="4" t="s">
        <v>42</v>
      </c>
      <c r="B48" s="13"/>
      <c r="C48" s="13" t="s">
        <v>1043</v>
      </c>
      <c r="D48" s="101" t="s">
        <v>1665</v>
      </c>
      <c r="E48" s="102"/>
      <c r="F48" s="13" t="s">
        <v>2386</v>
      </c>
      <c r="G48" s="21">
        <v>1</v>
      </c>
      <c r="H48" s="21">
        <v>0</v>
      </c>
      <c r="I48" s="21">
        <f t="shared" si="0"/>
        <v>0</v>
      </c>
      <c r="J48" s="21">
        <f t="shared" si="1"/>
        <v>0</v>
      </c>
      <c r="K48" s="21">
        <f t="shared" si="2"/>
        <v>0</v>
      </c>
      <c r="L48" s="21">
        <v>0</v>
      </c>
      <c r="M48" s="21">
        <f t="shared" si="3"/>
        <v>0</v>
      </c>
      <c r="N48" s="35"/>
      <c r="O48" s="39"/>
      <c r="U48" s="41">
        <f t="shared" si="4"/>
        <v>0</v>
      </c>
      <c r="W48" s="41">
        <f t="shared" si="5"/>
        <v>0</v>
      </c>
      <c r="X48" s="41">
        <f t="shared" si="6"/>
        <v>0</v>
      </c>
      <c r="Y48" s="41">
        <f t="shared" si="7"/>
        <v>0</v>
      </c>
      <c r="Z48" s="41">
        <f t="shared" si="8"/>
        <v>0</v>
      </c>
      <c r="AA48" s="41">
        <f t="shared" si="9"/>
        <v>0</v>
      </c>
      <c r="AB48" s="41">
        <f t="shared" si="10"/>
        <v>0</v>
      </c>
      <c r="AC48" s="41">
        <f t="shared" si="11"/>
        <v>0</v>
      </c>
      <c r="AD48" s="31"/>
      <c r="AE48" s="21">
        <f t="shared" si="12"/>
        <v>0</v>
      </c>
      <c r="AF48" s="21">
        <f t="shared" si="13"/>
        <v>0</v>
      </c>
      <c r="AG48" s="21">
        <f t="shared" si="14"/>
        <v>0</v>
      </c>
      <c r="AI48" s="41">
        <v>21</v>
      </c>
      <c r="AJ48" s="41">
        <f t="shared" si="15"/>
        <v>0</v>
      </c>
      <c r="AK48" s="41">
        <f t="shared" si="16"/>
        <v>0</v>
      </c>
      <c r="AL48" s="42" t="s">
        <v>8</v>
      </c>
      <c r="AQ48" s="41">
        <f t="shared" si="17"/>
        <v>0</v>
      </c>
      <c r="AR48" s="41">
        <f t="shared" si="18"/>
        <v>0</v>
      </c>
      <c r="AS48" s="41">
        <f t="shared" si="19"/>
        <v>0</v>
      </c>
      <c r="AT48" s="44" t="s">
        <v>2428</v>
      </c>
      <c r="AU48" s="44" t="s">
        <v>2475</v>
      </c>
      <c r="AV48" s="31" t="s">
        <v>2486</v>
      </c>
      <c r="AX48" s="41">
        <f t="shared" si="20"/>
        <v>0</v>
      </c>
      <c r="AY48" s="41">
        <f t="shared" si="21"/>
        <v>0</v>
      </c>
      <c r="AZ48" s="41">
        <v>0</v>
      </c>
      <c r="BA48" s="41">
        <f t="shared" si="22"/>
        <v>0</v>
      </c>
      <c r="BC48" s="21">
        <f t="shared" si="23"/>
        <v>0</v>
      </c>
      <c r="BD48" s="21">
        <f t="shared" si="24"/>
        <v>0</v>
      </c>
      <c r="BE48" s="21">
        <f t="shared" si="25"/>
        <v>0</v>
      </c>
      <c r="BF48" s="21" t="s">
        <v>2492</v>
      </c>
      <c r="BG48" s="41">
        <v>22233</v>
      </c>
    </row>
    <row r="49" spans="1:59" x14ac:dyDescent="0.3">
      <c r="A49" s="4" t="s">
        <v>43</v>
      </c>
      <c r="B49" s="13"/>
      <c r="C49" s="13" t="s">
        <v>1044</v>
      </c>
      <c r="D49" s="101" t="s">
        <v>1666</v>
      </c>
      <c r="E49" s="102"/>
      <c r="F49" s="13" t="s">
        <v>2386</v>
      </c>
      <c r="G49" s="21">
        <v>1</v>
      </c>
      <c r="H49" s="21">
        <v>0</v>
      </c>
      <c r="I49" s="21">
        <f t="shared" si="0"/>
        <v>0</v>
      </c>
      <c r="J49" s="21">
        <f t="shared" si="1"/>
        <v>0</v>
      </c>
      <c r="K49" s="21">
        <f t="shared" si="2"/>
        <v>0</v>
      </c>
      <c r="L49" s="21">
        <v>0</v>
      </c>
      <c r="M49" s="21">
        <f t="shared" si="3"/>
        <v>0</v>
      </c>
      <c r="N49" s="35"/>
      <c r="O49" s="39"/>
      <c r="U49" s="41">
        <f t="shared" si="4"/>
        <v>0</v>
      </c>
      <c r="W49" s="41">
        <f t="shared" si="5"/>
        <v>0</v>
      </c>
      <c r="X49" s="41">
        <f t="shared" si="6"/>
        <v>0</v>
      </c>
      <c r="Y49" s="41">
        <f t="shared" si="7"/>
        <v>0</v>
      </c>
      <c r="Z49" s="41">
        <f t="shared" si="8"/>
        <v>0</v>
      </c>
      <c r="AA49" s="41">
        <f t="shared" si="9"/>
        <v>0</v>
      </c>
      <c r="AB49" s="41">
        <f t="shared" si="10"/>
        <v>0</v>
      </c>
      <c r="AC49" s="41">
        <f t="shared" si="11"/>
        <v>0</v>
      </c>
      <c r="AD49" s="31"/>
      <c r="AE49" s="21">
        <f t="shared" si="12"/>
        <v>0</v>
      </c>
      <c r="AF49" s="21">
        <f t="shared" si="13"/>
        <v>0</v>
      </c>
      <c r="AG49" s="21">
        <f t="shared" si="14"/>
        <v>0</v>
      </c>
      <c r="AI49" s="41">
        <v>21</v>
      </c>
      <c r="AJ49" s="41">
        <f t="shared" si="15"/>
        <v>0</v>
      </c>
      <c r="AK49" s="41">
        <f t="shared" si="16"/>
        <v>0</v>
      </c>
      <c r="AL49" s="42" t="s">
        <v>8</v>
      </c>
      <c r="AQ49" s="41">
        <f t="shared" si="17"/>
        <v>0</v>
      </c>
      <c r="AR49" s="41">
        <f t="shared" si="18"/>
        <v>0</v>
      </c>
      <c r="AS49" s="41">
        <f t="shared" si="19"/>
        <v>0</v>
      </c>
      <c r="AT49" s="44" t="s">
        <v>2428</v>
      </c>
      <c r="AU49" s="44" t="s">
        <v>2475</v>
      </c>
      <c r="AV49" s="31" t="s">
        <v>2486</v>
      </c>
      <c r="AX49" s="41">
        <f t="shared" si="20"/>
        <v>0</v>
      </c>
      <c r="AY49" s="41">
        <f t="shared" si="21"/>
        <v>0</v>
      </c>
      <c r="AZ49" s="41">
        <v>0</v>
      </c>
      <c r="BA49" s="41">
        <f t="shared" si="22"/>
        <v>0</v>
      </c>
      <c r="BC49" s="21">
        <f t="shared" si="23"/>
        <v>0</v>
      </c>
      <c r="BD49" s="21">
        <f t="shared" si="24"/>
        <v>0</v>
      </c>
      <c r="BE49" s="21">
        <f t="shared" si="25"/>
        <v>0</v>
      </c>
      <c r="BF49" s="21" t="s">
        <v>2492</v>
      </c>
      <c r="BG49" s="41">
        <v>22233</v>
      </c>
    </row>
    <row r="50" spans="1:59" x14ac:dyDescent="0.3">
      <c r="A50" s="4" t="s">
        <v>44</v>
      </c>
      <c r="B50" s="13"/>
      <c r="C50" s="13" t="s">
        <v>1045</v>
      </c>
      <c r="D50" s="101" t="s">
        <v>1667</v>
      </c>
      <c r="E50" s="102"/>
      <c r="F50" s="13" t="s">
        <v>2386</v>
      </c>
      <c r="G50" s="21">
        <v>1</v>
      </c>
      <c r="H50" s="21">
        <v>0</v>
      </c>
      <c r="I50" s="21">
        <f t="shared" si="0"/>
        <v>0</v>
      </c>
      <c r="J50" s="21">
        <f t="shared" si="1"/>
        <v>0</v>
      </c>
      <c r="K50" s="21">
        <f t="shared" si="2"/>
        <v>0</v>
      </c>
      <c r="L50" s="21">
        <v>0</v>
      </c>
      <c r="M50" s="21">
        <f t="shared" si="3"/>
        <v>0</v>
      </c>
      <c r="N50" s="35"/>
      <c r="O50" s="39"/>
      <c r="U50" s="41">
        <f t="shared" si="4"/>
        <v>0</v>
      </c>
      <c r="W50" s="41">
        <f t="shared" si="5"/>
        <v>0</v>
      </c>
      <c r="X50" s="41">
        <f t="shared" si="6"/>
        <v>0</v>
      </c>
      <c r="Y50" s="41">
        <f t="shared" si="7"/>
        <v>0</v>
      </c>
      <c r="Z50" s="41">
        <f t="shared" si="8"/>
        <v>0</v>
      </c>
      <c r="AA50" s="41">
        <f t="shared" si="9"/>
        <v>0</v>
      </c>
      <c r="AB50" s="41">
        <f t="shared" si="10"/>
        <v>0</v>
      </c>
      <c r="AC50" s="41">
        <f t="shared" si="11"/>
        <v>0</v>
      </c>
      <c r="AD50" s="31"/>
      <c r="AE50" s="21">
        <f t="shared" si="12"/>
        <v>0</v>
      </c>
      <c r="AF50" s="21">
        <f t="shared" si="13"/>
        <v>0</v>
      </c>
      <c r="AG50" s="21">
        <f t="shared" si="14"/>
        <v>0</v>
      </c>
      <c r="AI50" s="41">
        <v>21</v>
      </c>
      <c r="AJ50" s="41">
        <f t="shared" si="15"/>
        <v>0</v>
      </c>
      <c r="AK50" s="41">
        <f t="shared" si="16"/>
        <v>0</v>
      </c>
      <c r="AL50" s="42" t="s">
        <v>8</v>
      </c>
      <c r="AQ50" s="41">
        <f t="shared" si="17"/>
        <v>0</v>
      </c>
      <c r="AR50" s="41">
        <f t="shared" si="18"/>
        <v>0</v>
      </c>
      <c r="AS50" s="41">
        <f t="shared" si="19"/>
        <v>0</v>
      </c>
      <c r="AT50" s="44" t="s">
        <v>2428</v>
      </c>
      <c r="AU50" s="44" t="s">
        <v>2475</v>
      </c>
      <c r="AV50" s="31" t="s">
        <v>2486</v>
      </c>
      <c r="AX50" s="41">
        <f t="shared" si="20"/>
        <v>0</v>
      </c>
      <c r="AY50" s="41">
        <f t="shared" si="21"/>
        <v>0</v>
      </c>
      <c r="AZ50" s="41">
        <v>0</v>
      </c>
      <c r="BA50" s="41">
        <f t="shared" si="22"/>
        <v>0</v>
      </c>
      <c r="BC50" s="21">
        <f t="shared" si="23"/>
        <v>0</v>
      </c>
      <c r="BD50" s="21">
        <f t="shared" si="24"/>
        <v>0</v>
      </c>
      <c r="BE50" s="21">
        <f t="shared" si="25"/>
        <v>0</v>
      </c>
      <c r="BF50" s="21" t="s">
        <v>2492</v>
      </c>
      <c r="BG50" s="41">
        <v>22233</v>
      </c>
    </row>
    <row r="51" spans="1:59" x14ac:dyDescent="0.3">
      <c r="A51" s="4" t="s">
        <v>45</v>
      </c>
      <c r="B51" s="13"/>
      <c r="C51" s="13" t="s">
        <v>1046</v>
      </c>
      <c r="D51" s="101" t="s">
        <v>1668</v>
      </c>
      <c r="E51" s="102"/>
      <c r="F51" s="13" t="s">
        <v>2386</v>
      </c>
      <c r="G51" s="21">
        <v>1</v>
      </c>
      <c r="H51" s="21">
        <v>0</v>
      </c>
      <c r="I51" s="21">
        <f t="shared" si="0"/>
        <v>0</v>
      </c>
      <c r="J51" s="21">
        <f t="shared" si="1"/>
        <v>0</v>
      </c>
      <c r="K51" s="21">
        <f t="shared" si="2"/>
        <v>0</v>
      </c>
      <c r="L51" s="21">
        <v>0</v>
      </c>
      <c r="M51" s="21">
        <f t="shared" si="3"/>
        <v>0</v>
      </c>
      <c r="N51" s="35"/>
      <c r="O51" s="39"/>
      <c r="U51" s="41">
        <f t="shared" si="4"/>
        <v>0</v>
      </c>
      <c r="W51" s="41">
        <f t="shared" si="5"/>
        <v>0</v>
      </c>
      <c r="X51" s="41">
        <f t="shared" si="6"/>
        <v>0</v>
      </c>
      <c r="Y51" s="41">
        <f t="shared" si="7"/>
        <v>0</v>
      </c>
      <c r="Z51" s="41">
        <f t="shared" si="8"/>
        <v>0</v>
      </c>
      <c r="AA51" s="41">
        <f t="shared" si="9"/>
        <v>0</v>
      </c>
      <c r="AB51" s="41">
        <f t="shared" si="10"/>
        <v>0</v>
      </c>
      <c r="AC51" s="41">
        <f t="shared" si="11"/>
        <v>0</v>
      </c>
      <c r="AD51" s="31"/>
      <c r="AE51" s="21">
        <f t="shared" si="12"/>
        <v>0</v>
      </c>
      <c r="AF51" s="21">
        <f t="shared" si="13"/>
        <v>0</v>
      </c>
      <c r="AG51" s="21">
        <f t="shared" si="14"/>
        <v>0</v>
      </c>
      <c r="AI51" s="41">
        <v>21</v>
      </c>
      <c r="AJ51" s="41">
        <f t="shared" si="15"/>
        <v>0</v>
      </c>
      <c r="AK51" s="41">
        <f t="shared" si="16"/>
        <v>0</v>
      </c>
      <c r="AL51" s="42" t="s">
        <v>8</v>
      </c>
      <c r="AQ51" s="41">
        <f t="shared" si="17"/>
        <v>0</v>
      </c>
      <c r="AR51" s="41">
        <f t="shared" si="18"/>
        <v>0</v>
      </c>
      <c r="AS51" s="41">
        <f t="shared" si="19"/>
        <v>0</v>
      </c>
      <c r="AT51" s="44" t="s">
        <v>2428</v>
      </c>
      <c r="AU51" s="44" t="s">
        <v>2475</v>
      </c>
      <c r="AV51" s="31" t="s">
        <v>2486</v>
      </c>
      <c r="AX51" s="41">
        <f t="shared" si="20"/>
        <v>0</v>
      </c>
      <c r="AY51" s="41">
        <f t="shared" si="21"/>
        <v>0</v>
      </c>
      <c r="AZ51" s="41">
        <v>0</v>
      </c>
      <c r="BA51" s="41">
        <f t="shared" si="22"/>
        <v>0</v>
      </c>
      <c r="BC51" s="21">
        <f t="shared" si="23"/>
        <v>0</v>
      </c>
      <c r="BD51" s="21">
        <f t="shared" si="24"/>
        <v>0</v>
      </c>
      <c r="BE51" s="21">
        <f t="shared" si="25"/>
        <v>0</v>
      </c>
      <c r="BF51" s="21" t="s">
        <v>2492</v>
      </c>
      <c r="BG51" s="41">
        <v>22233</v>
      </c>
    </row>
    <row r="52" spans="1:59" x14ac:dyDescent="0.3">
      <c r="A52" s="4" t="s">
        <v>46</v>
      </c>
      <c r="B52" s="13"/>
      <c r="C52" s="13" t="s">
        <v>1047</v>
      </c>
      <c r="D52" s="101" t="s">
        <v>1669</v>
      </c>
      <c r="E52" s="102"/>
      <c r="F52" s="13" t="s">
        <v>2386</v>
      </c>
      <c r="G52" s="21">
        <v>1</v>
      </c>
      <c r="H52" s="21">
        <v>0</v>
      </c>
      <c r="I52" s="21">
        <f t="shared" si="0"/>
        <v>0</v>
      </c>
      <c r="J52" s="21">
        <f t="shared" si="1"/>
        <v>0</v>
      </c>
      <c r="K52" s="21">
        <f t="shared" si="2"/>
        <v>0</v>
      </c>
      <c r="L52" s="21">
        <v>0</v>
      </c>
      <c r="M52" s="21">
        <f t="shared" si="3"/>
        <v>0</v>
      </c>
      <c r="N52" s="35"/>
      <c r="O52" s="39"/>
      <c r="U52" s="41">
        <f t="shared" si="4"/>
        <v>0</v>
      </c>
      <c r="W52" s="41">
        <f t="shared" si="5"/>
        <v>0</v>
      </c>
      <c r="X52" s="41">
        <f t="shared" si="6"/>
        <v>0</v>
      </c>
      <c r="Y52" s="41">
        <f t="shared" si="7"/>
        <v>0</v>
      </c>
      <c r="Z52" s="41">
        <f t="shared" si="8"/>
        <v>0</v>
      </c>
      <c r="AA52" s="41">
        <f t="shared" si="9"/>
        <v>0</v>
      </c>
      <c r="AB52" s="41">
        <f t="shared" si="10"/>
        <v>0</v>
      </c>
      <c r="AC52" s="41">
        <f t="shared" si="11"/>
        <v>0</v>
      </c>
      <c r="AD52" s="31"/>
      <c r="AE52" s="21">
        <f t="shared" si="12"/>
        <v>0</v>
      </c>
      <c r="AF52" s="21">
        <f t="shared" si="13"/>
        <v>0</v>
      </c>
      <c r="AG52" s="21">
        <f t="shared" si="14"/>
        <v>0</v>
      </c>
      <c r="AI52" s="41">
        <v>21</v>
      </c>
      <c r="AJ52" s="41">
        <f t="shared" si="15"/>
        <v>0</v>
      </c>
      <c r="AK52" s="41">
        <f t="shared" si="16"/>
        <v>0</v>
      </c>
      <c r="AL52" s="42" t="s">
        <v>8</v>
      </c>
      <c r="AQ52" s="41">
        <f t="shared" si="17"/>
        <v>0</v>
      </c>
      <c r="AR52" s="41">
        <f t="shared" si="18"/>
        <v>0</v>
      </c>
      <c r="AS52" s="41">
        <f t="shared" si="19"/>
        <v>0</v>
      </c>
      <c r="AT52" s="44" t="s">
        <v>2428</v>
      </c>
      <c r="AU52" s="44" t="s">
        <v>2475</v>
      </c>
      <c r="AV52" s="31" t="s">
        <v>2486</v>
      </c>
      <c r="AX52" s="41">
        <f t="shared" si="20"/>
        <v>0</v>
      </c>
      <c r="AY52" s="41">
        <f t="shared" si="21"/>
        <v>0</v>
      </c>
      <c r="AZ52" s="41">
        <v>0</v>
      </c>
      <c r="BA52" s="41">
        <f t="shared" si="22"/>
        <v>0</v>
      </c>
      <c r="BC52" s="21">
        <f t="shared" si="23"/>
        <v>0</v>
      </c>
      <c r="BD52" s="21">
        <f t="shared" si="24"/>
        <v>0</v>
      </c>
      <c r="BE52" s="21">
        <f t="shared" si="25"/>
        <v>0</v>
      </c>
      <c r="BF52" s="21" t="s">
        <v>2492</v>
      </c>
      <c r="BG52" s="41">
        <v>22233</v>
      </c>
    </row>
    <row r="53" spans="1:59" x14ac:dyDescent="0.3">
      <c r="A53" s="5"/>
      <c r="B53" s="14"/>
      <c r="C53" s="14" t="s">
        <v>40</v>
      </c>
      <c r="D53" s="103" t="s">
        <v>1670</v>
      </c>
      <c r="E53" s="104"/>
      <c r="F53" s="19" t="s">
        <v>6</v>
      </c>
      <c r="G53" s="19" t="s">
        <v>6</v>
      </c>
      <c r="H53" s="19" t="s">
        <v>6</v>
      </c>
      <c r="I53" s="47">
        <f>SUM(I54:I71)</f>
        <v>0</v>
      </c>
      <c r="J53" s="47">
        <f>SUM(J54:J71)</f>
        <v>0</v>
      </c>
      <c r="K53" s="47">
        <f>SUM(K54:K71)</f>
        <v>0</v>
      </c>
      <c r="L53" s="31"/>
      <c r="M53" s="47">
        <f>SUM(M54:M71)</f>
        <v>62.269676498500012</v>
      </c>
      <c r="N53" s="36"/>
      <c r="O53" s="39"/>
      <c r="AD53" s="31"/>
      <c r="AN53" s="47">
        <f>SUM(AE54:AE71)</f>
        <v>0</v>
      </c>
      <c r="AO53" s="47">
        <f>SUM(AF54:AF71)</f>
        <v>0</v>
      </c>
      <c r="AP53" s="47">
        <f>SUM(AG54:AG71)</f>
        <v>0</v>
      </c>
    </row>
    <row r="54" spans="1:59" x14ac:dyDescent="0.3">
      <c r="A54" s="4" t="s">
        <v>47</v>
      </c>
      <c r="B54" s="13"/>
      <c r="C54" s="13" t="s">
        <v>1048</v>
      </c>
      <c r="D54" s="101" t="s">
        <v>1671</v>
      </c>
      <c r="E54" s="102"/>
      <c r="F54" s="13" t="s">
        <v>2387</v>
      </c>
      <c r="G54" s="21">
        <v>190.84469999999999</v>
      </c>
      <c r="H54" s="21">
        <v>0</v>
      </c>
      <c r="I54" s="21">
        <f t="shared" ref="I54:I71" si="26">G54*AJ54</f>
        <v>0</v>
      </c>
      <c r="J54" s="21">
        <f t="shared" ref="J54:J71" si="27">G54*AK54</f>
        <v>0</v>
      </c>
      <c r="K54" s="21">
        <f t="shared" ref="K54:K71" si="28">G54*H54</f>
        <v>0</v>
      </c>
      <c r="L54" s="21">
        <v>4.5150000000000003E-2</v>
      </c>
      <c r="M54" s="21">
        <f t="shared" ref="M54:M71" si="29">G54*L54</f>
        <v>8.6166382049999992</v>
      </c>
      <c r="N54" s="35" t="s">
        <v>2417</v>
      </c>
      <c r="O54" s="39"/>
      <c r="U54" s="41">
        <f t="shared" ref="U54:U71" si="30">IF(AL54="5",BE54,0)</f>
        <v>0</v>
      </c>
      <c r="W54" s="41">
        <f t="shared" ref="W54:W71" si="31">IF(AL54="1",BC54,0)</f>
        <v>0</v>
      </c>
      <c r="X54" s="41">
        <f t="shared" ref="X54:X71" si="32">IF(AL54="1",BD54,0)</f>
        <v>0</v>
      </c>
      <c r="Y54" s="41">
        <f t="shared" ref="Y54:Y71" si="33">IF(AL54="7",BC54,0)</f>
        <v>0</v>
      </c>
      <c r="Z54" s="41">
        <f t="shared" ref="Z54:Z71" si="34">IF(AL54="7",BD54,0)</f>
        <v>0</v>
      </c>
      <c r="AA54" s="41">
        <f t="shared" ref="AA54:AA71" si="35">IF(AL54="2",BC54,0)</f>
        <v>0</v>
      </c>
      <c r="AB54" s="41">
        <f t="shared" ref="AB54:AB71" si="36">IF(AL54="2",BD54,0)</f>
        <v>0</v>
      </c>
      <c r="AC54" s="41">
        <f t="shared" ref="AC54:AC71" si="37">IF(AL54="0",BE54,0)</f>
        <v>0</v>
      </c>
      <c r="AD54" s="31"/>
      <c r="AE54" s="21">
        <f t="shared" ref="AE54:AE71" si="38">IF(AI54=0,K54,0)</f>
        <v>0</v>
      </c>
      <c r="AF54" s="21">
        <f t="shared" ref="AF54:AF71" si="39">IF(AI54=15,K54,0)</f>
        <v>0</v>
      </c>
      <c r="AG54" s="21">
        <f t="shared" ref="AG54:AG71" si="40">IF(AI54=21,K54,0)</f>
        <v>0</v>
      </c>
      <c r="AI54" s="41">
        <v>21</v>
      </c>
      <c r="AJ54" s="41">
        <f>H54*0.500017207077044</f>
        <v>0</v>
      </c>
      <c r="AK54" s="41">
        <f>H54*(1-0.500017207077044)</f>
        <v>0</v>
      </c>
      <c r="AL54" s="42" t="s">
        <v>7</v>
      </c>
      <c r="AQ54" s="41">
        <f t="shared" ref="AQ54:AQ71" si="41">AR54+AS54</f>
        <v>0</v>
      </c>
      <c r="AR54" s="41">
        <f t="shared" ref="AR54:AR71" si="42">G54*AJ54</f>
        <v>0</v>
      </c>
      <c r="AS54" s="41">
        <f t="shared" ref="AS54:AS71" si="43">G54*AK54</f>
        <v>0</v>
      </c>
      <c r="AT54" s="44" t="s">
        <v>2429</v>
      </c>
      <c r="AU54" s="44" t="s">
        <v>2476</v>
      </c>
      <c r="AV54" s="31" t="s">
        <v>2486</v>
      </c>
      <c r="AX54" s="41">
        <f t="shared" ref="AX54:AX71" si="44">AR54+AS54</f>
        <v>0</v>
      </c>
      <c r="AY54" s="41">
        <f t="shared" ref="AY54:AY71" si="45">H54/(100-AZ54)*100</f>
        <v>0</v>
      </c>
      <c r="AZ54" s="41">
        <v>0</v>
      </c>
      <c r="BA54" s="41">
        <f t="shared" ref="BA54:BA71" si="46">M54</f>
        <v>8.6166382049999992</v>
      </c>
      <c r="BC54" s="21">
        <f t="shared" ref="BC54:BC71" si="47">G54*AJ54</f>
        <v>0</v>
      </c>
      <c r="BD54" s="21">
        <f t="shared" ref="BD54:BD71" si="48">G54*AK54</f>
        <v>0</v>
      </c>
      <c r="BE54" s="21">
        <f t="shared" ref="BE54:BE71" si="49">G54*H54</f>
        <v>0</v>
      </c>
      <c r="BF54" s="21" t="s">
        <v>2492</v>
      </c>
      <c r="BG54" s="41">
        <v>34</v>
      </c>
    </row>
    <row r="55" spans="1:59" x14ac:dyDescent="0.3">
      <c r="A55" s="4" t="s">
        <v>48</v>
      </c>
      <c r="B55" s="13"/>
      <c r="C55" s="13" t="s">
        <v>1049</v>
      </c>
      <c r="D55" s="101" t="s">
        <v>1672</v>
      </c>
      <c r="E55" s="102"/>
      <c r="F55" s="13" t="s">
        <v>2387</v>
      </c>
      <c r="G55" s="21">
        <v>216.09530000000001</v>
      </c>
      <c r="H55" s="21">
        <v>0</v>
      </c>
      <c r="I55" s="21">
        <f t="shared" si="26"/>
        <v>0</v>
      </c>
      <c r="J55" s="21">
        <f t="shared" si="27"/>
        <v>0</v>
      </c>
      <c r="K55" s="21">
        <f t="shared" si="28"/>
        <v>0</v>
      </c>
      <c r="L55" s="21">
        <v>4.5569999999999999E-2</v>
      </c>
      <c r="M55" s="21">
        <f t="shared" si="29"/>
        <v>9.8474628210000006</v>
      </c>
      <c r="N55" s="35" t="s">
        <v>2417</v>
      </c>
      <c r="O55" s="39"/>
      <c r="U55" s="41">
        <f t="shared" si="30"/>
        <v>0</v>
      </c>
      <c r="W55" s="41">
        <f t="shared" si="31"/>
        <v>0</v>
      </c>
      <c r="X55" s="41">
        <f t="shared" si="32"/>
        <v>0</v>
      </c>
      <c r="Y55" s="41">
        <f t="shared" si="33"/>
        <v>0</v>
      </c>
      <c r="Z55" s="41">
        <f t="shared" si="34"/>
        <v>0</v>
      </c>
      <c r="AA55" s="41">
        <f t="shared" si="35"/>
        <v>0</v>
      </c>
      <c r="AB55" s="41">
        <f t="shared" si="36"/>
        <v>0</v>
      </c>
      <c r="AC55" s="41">
        <f t="shared" si="37"/>
        <v>0</v>
      </c>
      <c r="AD55" s="31"/>
      <c r="AE55" s="21">
        <f t="shared" si="38"/>
        <v>0</v>
      </c>
      <c r="AF55" s="21">
        <f t="shared" si="39"/>
        <v>0</v>
      </c>
      <c r="AG55" s="21">
        <f t="shared" si="40"/>
        <v>0</v>
      </c>
      <c r="AI55" s="41">
        <v>21</v>
      </c>
      <c r="AJ55" s="41">
        <f>H55*0.565245745234283</f>
        <v>0</v>
      </c>
      <c r="AK55" s="41">
        <f>H55*(1-0.565245745234283)</f>
        <v>0</v>
      </c>
      <c r="AL55" s="42" t="s">
        <v>7</v>
      </c>
      <c r="AQ55" s="41">
        <f t="shared" si="41"/>
        <v>0</v>
      </c>
      <c r="AR55" s="41">
        <f t="shared" si="42"/>
        <v>0</v>
      </c>
      <c r="AS55" s="41">
        <f t="shared" si="43"/>
        <v>0</v>
      </c>
      <c r="AT55" s="44" t="s">
        <v>2429</v>
      </c>
      <c r="AU55" s="44" t="s">
        <v>2476</v>
      </c>
      <c r="AV55" s="31" t="s">
        <v>2486</v>
      </c>
      <c r="AX55" s="41">
        <f t="shared" si="44"/>
        <v>0</v>
      </c>
      <c r="AY55" s="41">
        <f t="shared" si="45"/>
        <v>0</v>
      </c>
      <c r="AZ55" s="41">
        <v>0</v>
      </c>
      <c r="BA55" s="41">
        <f t="shared" si="46"/>
        <v>9.8474628210000006</v>
      </c>
      <c r="BC55" s="21">
        <f t="shared" si="47"/>
        <v>0</v>
      </c>
      <c r="BD55" s="21">
        <f t="shared" si="48"/>
        <v>0</v>
      </c>
      <c r="BE55" s="21">
        <f t="shared" si="49"/>
        <v>0</v>
      </c>
      <c r="BF55" s="21" t="s">
        <v>2492</v>
      </c>
      <c r="BG55" s="41">
        <v>34</v>
      </c>
    </row>
    <row r="56" spans="1:59" x14ac:dyDescent="0.3">
      <c r="A56" s="4" t="s">
        <v>49</v>
      </c>
      <c r="B56" s="13"/>
      <c r="C56" s="13" t="s">
        <v>1050</v>
      </c>
      <c r="D56" s="101" t="s">
        <v>1673</v>
      </c>
      <c r="E56" s="102"/>
      <c r="F56" s="13" t="s">
        <v>2387</v>
      </c>
      <c r="G56" s="21">
        <v>41.251550000000002</v>
      </c>
      <c r="H56" s="21">
        <v>0</v>
      </c>
      <c r="I56" s="21">
        <f t="shared" si="26"/>
        <v>0</v>
      </c>
      <c r="J56" s="21">
        <f t="shared" si="27"/>
        <v>0</v>
      </c>
      <c r="K56" s="21">
        <f t="shared" si="28"/>
        <v>0</v>
      </c>
      <c r="L56" s="21">
        <v>4.768E-2</v>
      </c>
      <c r="M56" s="21">
        <f t="shared" si="29"/>
        <v>1.9668739040000001</v>
      </c>
      <c r="N56" s="35" t="s">
        <v>2417</v>
      </c>
      <c r="O56" s="39"/>
      <c r="U56" s="41">
        <f t="shared" si="30"/>
        <v>0</v>
      </c>
      <c r="W56" s="41">
        <f t="shared" si="31"/>
        <v>0</v>
      </c>
      <c r="X56" s="41">
        <f t="shared" si="32"/>
        <v>0</v>
      </c>
      <c r="Y56" s="41">
        <f t="shared" si="33"/>
        <v>0</v>
      </c>
      <c r="Z56" s="41">
        <f t="shared" si="34"/>
        <v>0</v>
      </c>
      <c r="AA56" s="41">
        <f t="shared" si="35"/>
        <v>0</v>
      </c>
      <c r="AB56" s="41">
        <f t="shared" si="36"/>
        <v>0</v>
      </c>
      <c r="AC56" s="41">
        <f t="shared" si="37"/>
        <v>0</v>
      </c>
      <c r="AD56" s="31"/>
      <c r="AE56" s="21">
        <f t="shared" si="38"/>
        <v>0</v>
      </c>
      <c r="AF56" s="21">
        <f t="shared" si="39"/>
        <v>0</v>
      </c>
      <c r="AG56" s="21">
        <f t="shared" si="40"/>
        <v>0</v>
      </c>
      <c r="AI56" s="41">
        <v>21</v>
      </c>
      <c r="AJ56" s="41">
        <f>H56*0.542234018464603</f>
        <v>0</v>
      </c>
      <c r="AK56" s="41">
        <f>H56*(1-0.542234018464603)</f>
        <v>0</v>
      </c>
      <c r="AL56" s="42" t="s">
        <v>7</v>
      </c>
      <c r="AQ56" s="41">
        <f t="shared" si="41"/>
        <v>0</v>
      </c>
      <c r="AR56" s="41">
        <f t="shared" si="42"/>
        <v>0</v>
      </c>
      <c r="AS56" s="41">
        <f t="shared" si="43"/>
        <v>0</v>
      </c>
      <c r="AT56" s="44" t="s">
        <v>2429</v>
      </c>
      <c r="AU56" s="44" t="s">
        <v>2476</v>
      </c>
      <c r="AV56" s="31" t="s">
        <v>2486</v>
      </c>
      <c r="AX56" s="41">
        <f t="shared" si="44"/>
        <v>0</v>
      </c>
      <c r="AY56" s="41">
        <f t="shared" si="45"/>
        <v>0</v>
      </c>
      <c r="AZ56" s="41">
        <v>0</v>
      </c>
      <c r="BA56" s="41">
        <f t="shared" si="46"/>
        <v>1.9668739040000001</v>
      </c>
      <c r="BC56" s="21">
        <f t="shared" si="47"/>
        <v>0</v>
      </c>
      <c r="BD56" s="21">
        <f t="shared" si="48"/>
        <v>0</v>
      </c>
      <c r="BE56" s="21">
        <f t="shared" si="49"/>
        <v>0</v>
      </c>
      <c r="BF56" s="21" t="s">
        <v>2492</v>
      </c>
      <c r="BG56" s="41">
        <v>34</v>
      </c>
    </row>
    <row r="57" spans="1:59" x14ac:dyDescent="0.3">
      <c r="A57" s="4" t="s">
        <v>50</v>
      </c>
      <c r="B57" s="13"/>
      <c r="C57" s="13" t="s">
        <v>1051</v>
      </c>
      <c r="D57" s="101" t="s">
        <v>1674</v>
      </c>
      <c r="E57" s="102"/>
      <c r="F57" s="13" t="s">
        <v>2387</v>
      </c>
      <c r="G57" s="21">
        <v>24.979500000000002</v>
      </c>
      <c r="H57" s="21">
        <v>0</v>
      </c>
      <c r="I57" s="21">
        <f t="shared" si="26"/>
        <v>0</v>
      </c>
      <c r="J57" s="21">
        <f t="shared" si="27"/>
        <v>0</v>
      </c>
      <c r="K57" s="21">
        <f t="shared" si="28"/>
        <v>0</v>
      </c>
      <c r="L57" s="21">
        <v>5.1310000000000001E-2</v>
      </c>
      <c r="M57" s="21">
        <f t="shared" si="29"/>
        <v>1.281698145</v>
      </c>
      <c r="N57" s="35" t="s">
        <v>2417</v>
      </c>
      <c r="O57" s="39"/>
      <c r="U57" s="41">
        <f t="shared" si="30"/>
        <v>0</v>
      </c>
      <c r="W57" s="41">
        <f t="shared" si="31"/>
        <v>0</v>
      </c>
      <c r="X57" s="41">
        <f t="shared" si="32"/>
        <v>0</v>
      </c>
      <c r="Y57" s="41">
        <f t="shared" si="33"/>
        <v>0</v>
      </c>
      <c r="Z57" s="41">
        <f t="shared" si="34"/>
        <v>0</v>
      </c>
      <c r="AA57" s="41">
        <f t="shared" si="35"/>
        <v>0</v>
      </c>
      <c r="AB57" s="41">
        <f t="shared" si="36"/>
        <v>0</v>
      </c>
      <c r="AC57" s="41">
        <f t="shared" si="37"/>
        <v>0</v>
      </c>
      <c r="AD57" s="31"/>
      <c r="AE57" s="21">
        <f t="shared" si="38"/>
        <v>0</v>
      </c>
      <c r="AF57" s="21">
        <f t="shared" si="39"/>
        <v>0</v>
      </c>
      <c r="AG57" s="21">
        <f t="shared" si="40"/>
        <v>0</v>
      </c>
      <c r="AI57" s="41">
        <v>21</v>
      </c>
      <c r="AJ57" s="41">
        <f>H57*0.59030800039946</f>
        <v>0</v>
      </c>
      <c r="AK57" s="41">
        <f>H57*(1-0.59030800039946)</f>
        <v>0</v>
      </c>
      <c r="AL57" s="42" t="s">
        <v>7</v>
      </c>
      <c r="AQ57" s="41">
        <f t="shared" si="41"/>
        <v>0</v>
      </c>
      <c r="AR57" s="41">
        <f t="shared" si="42"/>
        <v>0</v>
      </c>
      <c r="AS57" s="41">
        <f t="shared" si="43"/>
        <v>0</v>
      </c>
      <c r="AT57" s="44" t="s">
        <v>2429</v>
      </c>
      <c r="AU57" s="44" t="s">
        <v>2476</v>
      </c>
      <c r="AV57" s="31" t="s">
        <v>2486</v>
      </c>
      <c r="AX57" s="41">
        <f t="shared" si="44"/>
        <v>0</v>
      </c>
      <c r="AY57" s="41">
        <f t="shared" si="45"/>
        <v>0</v>
      </c>
      <c r="AZ57" s="41">
        <v>0</v>
      </c>
      <c r="BA57" s="41">
        <f t="shared" si="46"/>
        <v>1.281698145</v>
      </c>
      <c r="BC57" s="21">
        <f t="shared" si="47"/>
        <v>0</v>
      </c>
      <c r="BD57" s="21">
        <f t="shared" si="48"/>
        <v>0</v>
      </c>
      <c r="BE57" s="21">
        <f t="shared" si="49"/>
        <v>0</v>
      </c>
      <c r="BF57" s="21" t="s">
        <v>2492</v>
      </c>
      <c r="BG57" s="41">
        <v>34</v>
      </c>
    </row>
    <row r="58" spans="1:59" x14ac:dyDescent="0.3">
      <c r="A58" s="4" t="s">
        <v>51</v>
      </c>
      <c r="B58" s="13"/>
      <c r="C58" s="13" t="s">
        <v>1052</v>
      </c>
      <c r="D58" s="101" t="s">
        <v>1675</v>
      </c>
      <c r="E58" s="102"/>
      <c r="F58" s="13" t="s">
        <v>2387</v>
      </c>
      <c r="G58" s="21">
        <v>15.9885</v>
      </c>
      <c r="H58" s="21">
        <v>0</v>
      </c>
      <c r="I58" s="21">
        <f t="shared" si="26"/>
        <v>0</v>
      </c>
      <c r="J58" s="21">
        <f t="shared" si="27"/>
        <v>0</v>
      </c>
      <c r="K58" s="21">
        <f t="shared" si="28"/>
        <v>0</v>
      </c>
      <c r="L58" s="21">
        <v>7.6099999999999996E-3</v>
      </c>
      <c r="M58" s="21">
        <f t="shared" si="29"/>
        <v>0.121672485</v>
      </c>
      <c r="N58" s="35" t="s">
        <v>2417</v>
      </c>
      <c r="O58" s="39"/>
      <c r="U58" s="41">
        <f t="shared" si="30"/>
        <v>0</v>
      </c>
      <c r="W58" s="41">
        <f t="shared" si="31"/>
        <v>0</v>
      </c>
      <c r="X58" s="41">
        <f t="shared" si="32"/>
        <v>0</v>
      </c>
      <c r="Y58" s="41">
        <f t="shared" si="33"/>
        <v>0</v>
      </c>
      <c r="Z58" s="41">
        <f t="shared" si="34"/>
        <v>0</v>
      </c>
      <c r="AA58" s="41">
        <f t="shared" si="35"/>
        <v>0</v>
      </c>
      <c r="AB58" s="41">
        <f t="shared" si="36"/>
        <v>0</v>
      </c>
      <c r="AC58" s="41">
        <f t="shared" si="37"/>
        <v>0</v>
      </c>
      <c r="AD58" s="31"/>
      <c r="AE58" s="21">
        <f t="shared" si="38"/>
        <v>0</v>
      </c>
      <c r="AF58" s="21">
        <f t="shared" si="39"/>
        <v>0</v>
      </c>
      <c r="AG58" s="21">
        <f t="shared" si="40"/>
        <v>0</v>
      </c>
      <c r="AI58" s="41">
        <v>21</v>
      </c>
      <c r="AJ58" s="41">
        <f>H58*0.446721387814669</f>
        <v>0</v>
      </c>
      <c r="AK58" s="41">
        <f>H58*(1-0.446721387814669)</f>
        <v>0</v>
      </c>
      <c r="AL58" s="42" t="s">
        <v>7</v>
      </c>
      <c r="AQ58" s="41">
        <f t="shared" si="41"/>
        <v>0</v>
      </c>
      <c r="AR58" s="41">
        <f t="shared" si="42"/>
        <v>0</v>
      </c>
      <c r="AS58" s="41">
        <f t="shared" si="43"/>
        <v>0</v>
      </c>
      <c r="AT58" s="44" t="s">
        <v>2429</v>
      </c>
      <c r="AU58" s="44" t="s">
        <v>2476</v>
      </c>
      <c r="AV58" s="31" t="s">
        <v>2486</v>
      </c>
      <c r="AX58" s="41">
        <f t="shared" si="44"/>
        <v>0</v>
      </c>
      <c r="AY58" s="41">
        <f t="shared" si="45"/>
        <v>0</v>
      </c>
      <c r="AZ58" s="41">
        <v>0</v>
      </c>
      <c r="BA58" s="41">
        <f t="shared" si="46"/>
        <v>0.121672485</v>
      </c>
      <c r="BC58" s="21">
        <f t="shared" si="47"/>
        <v>0</v>
      </c>
      <c r="BD58" s="21">
        <f t="shared" si="48"/>
        <v>0</v>
      </c>
      <c r="BE58" s="21">
        <f t="shared" si="49"/>
        <v>0</v>
      </c>
      <c r="BF58" s="21" t="s">
        <v>2492</v>
      </c>
      <c r="BG58" s="41">
        <v>34</v>
      </c>
    </row>
    <row r="59" spans="1:59" x14ac:dyDescent="0.3">
      <c r="A59" s="4" t="s">
        <v>52</v>
      </c>
      <c r="B59" s="13"/>
      <c r="C59" s="13" t="s">
        <v>1053</v>
      </c>
      <c r="D59" s="101" t="s">
        <v>1676</v>
      </c>
      <c r="E59" s="102"/>
      <c r="F59" s="13" t="s">
        <v>2387</v>
      </c>
      <c r="G59" s="21">
        <v>5.7606000000000002</v>
      </c>
      <c r="H59" s="21">
        <v>0</v>
      </c>
      <c r="I59" s="21">
        <f t="shared" si="26"/>
        <v>0</v>
      </c>
      <c r="J59" s="21">
        <f t="shared" si="27"/>
        <v>0</v>
      </c>
      <c r="K59" s="21">
        <f t="shared" si="28"/>
        <v>0</v>
      </c>
      <c r="L59" s="21">
        <v>3.7599999999999999E-3</v>
      </c>
      <c r="M59" s="21">
        <f t="shared" si="29"/>
        <v>2.1659856000000002E-2</v>
      </c>
      <c r="N59" s="35" t="s">
        <v>2417</v>
      </c>
      <c r="O59" s="39"/>
      <c r="U59" s="41">
        <f t="shared" si="30"/>
        <v>0</v>
      </c>
      <c r="W59" s="41">
        <f t="shared" si="31"/>
        <v>0</v>
      </c>
      <c r="X59" s="41">
        <f t="shared" si="32"/>
        <v>0</v>
      </c>
      <c r="Y59" s="41">
        <f t="shared" si="33"/>
        <v>0</v>
      </c>
      <c r="Z59" s="41">
        <f t="shared" si="34"/>
        <v>0</v>
      </c>
      <c r="AA59" s="41">
        <f t="shared" si="35"/>
        <v>0</v>
      </c>
      <c r="AB59" s="41">
        <f t="shared" si="36"/>
        <v>0</v>
      </c>
      <c r="AC59" s="41">
        <f t="shared" si="37"/>
        <v>0</v>
      </c>
      <c r="AD59" s="31"/>
      <c r="AE59" s="21">
        <f t="shared" si="38"/>
        <v>0</v>
      </c>
      <c r="AF59" s="21">
        <f t="shared" si="39"/>
        <v>0</v>
      </c>
      <c r="AG59" s="21">
        <f t="shared" si="40"/>
        <v>0</v>
      </c>
      <c r="AI59" s="41">
        <v>21</v>
      </c>
      <c r="AJ59" s="41">
        <f>H59*0.372093223543534</f>
        <v>0</v>
      </c>
      <c r="AK59" s="41">
        <f>H59*(1-0.372093223543534)</f>
        <v>0</v>
      </c>
      <c r="AL59" s="42" t="s">
        <v>7</v>
      </c>
      <c r="AQ59" s="41">
        <f t="shared" si="41"/>
        <v>0</v>
      </c>
      <c r="AR59" s="41">
        <f t="shared" si="42"/>
        <v>0</v>
      </c>
      <c r="AS59" s="41">
        <f t="shared" si="43"/>
        <v>0</v>
      </c>
      <c r="AT59" s="44" t="s">
        <v>2429</v>
      </c>
      <c r="AU59" s="44" t="s">
        <v>2476</v>
      </c>
      <c r="AV59" s="31" t="s">
        <v>2486</v>
      </c>
      <c r="AX59" s="41">
        <f t="shared" si="44"/>
        <v>0</v>
      </c>
      <c r="AY59" s="41">
        <f t="shared" si="45"/>
        <v>0</v>
      </c>
      <c r="AZ59" s="41">
        <v>0</v>
      </c>
      <c r="BA59" s="41">
        <f t="shared" si="46"/>
        <v>2.1659856000000002E-2</v>
      </c>
      <c r="BC59" s="21">
        <f t="shared" si="47"/>
        <v>0</v>
      </c>
      <c r="BD59" s="21">
        <f t="shared" si="48"/>
        <v>0</v>
      </c>
      <c r="BE59" s="21">
        <f t="shared" si="49"/>
        <v>0</v>
      </c>
      <c r="BF59" s="21" t="s">
        <v>2492</v>
      </c>
      <c r="BG59" s="41">
        <v>34</v>
      </c>
    </row>
    <row r="60" spans="1:59" x14ac:dyDescent="0.3">
      <c r="A60" s="4" t="s">
        <v>53</v>
      </c>
      <c r="B60" s="13"/>
      <c r="C60" s="13" t="s">
        <v>1054</v>
      </c>
      <c r="D60" s="101" t="s">
        <v>1677</v>
      </c>
      <c r="E60" s="102"/>
      <c r="F60" s="13" t="s">
        <v>2387</v>
      </c>
      <c r="G60" s="21">
        <v>1.59375</v>
      </c>
      <c r="H60" s="21">
        <v>0</v>
      </c>
      <c r="I60" s="21">
        <f t="shared" si="26"/>
        <v>0</v>
      </c>
      <c r="J60" s="21">
        <f t="shared" si="27"/>
        <v>0</v>
      </c>
      <c r="K60" s="21">
        <f t="shared" si="28"/>
        <v>0</v>
      </c>
      <c r="L60" s="21">
        <v>5.6499999999999996E-3</v>
      </c>
      <c r="M60" s="21">
        <f t="shared" si="29"/>
        <v>9.0046874999999988E-3</v>
      </c>
      <c r="N60" s="35" t="s">
        <v>2417</v>
      </c>
      <c r="O60" s="39"/>
      <c r="U60" s="41">
        <f t="shared" si="30"/>
        <v>0</v>
      </c>
      <c r="W60" s="41">
        <f t="shared" si="31"/>
        <v>0</v>
      </c>
      <c r="X60" s="41">
        <f t="shared" si="32"/>
        <v>0</v>
      </c>
      <c r="Y60" s="41">
        <f t="shared" si="33"/>
        <v>0</v>
      </c>
      <c r="Z60" s="41">
        <f t="shared" si="34"/>
        <v>0</v>
      </c>
      <c r="AA60" s="41">
        <f t="shared" si="35"/>
        <v>0</v>
      </c>
      <c r="AB60" s="41">
        <f t="shared" si="36"/>
        <v>0</v>
      </c>
      <c r="AC60" s="41">
        <f t="shared" si="37"/>
        <v>0</v>
      </c>
      <c r="AD60" s="31"/>
      <c r="AE60" s="21">
        <f t="shared" si="38"/>
        <v>0</v>
      </c>
      <c r="AF60" s="21">
        <f t="shared" si="39"/>
        <v>0</v>
      </c>
      <c r="AG60" s="21">
        <f t="shared" si="40"/>
        <v>0</v>
      </c>
      <c r="AI60" s="41">
        <v>21</v>
      </c>
      <c r="AJ60" s="41">
        <f>H60*0.42766294924338</f>
        <v>0</v>
      </c>
      <c r="AK60" s="41">
        <f>H60*(1-0.42766294924338)</f>
        <v>0</v>
      </c>
      <c r="AL60" s="42" t="s">
        <v>7</v>
      </c>
      <c r="AQ60" s="41">
        <f t="shared" si="41"/>
        <v>0</v>
      </c>
      <c r="AR60" s="41">
        <f t="shared" si="42"/>
        <v>0</v>
      </c>
      <c r="AS60" s="41">
        <f t="shared" si="43"/>
        <v>0</v>
      </c>
      <c r="AT60" s="44" t="s">
        <v>2429</v>
      </c>
      <c r="AU60" s="44" t="s">
        <v>2476</v>
      </c>
      <c r="AV60" s="31" t="s">
        <v>2486</v>
      </c>
      <c r="AX60" s="41">
        <f t="shared" si="44"/>
        <v>0</v>
      </c>
      <c r="AY60" s="41">
        <f t="shared" si="45"/>
        <v>0</v>
      </c>
      <c r="AZ60" s="41">
        <v>0</v>
      </c>
      <c r="BA60" s="41">
        <f t="shared" si="46"/>
        <v>9.0046874999999988E-3</v>
      </c>
      <c r="BC60" s="21">
        <f t="shared" si="47"/>
        <v>0</v>
      </c>
      <c r="BD60" s="21">
        <f t="shared" si="48"/>
        <v>0</v>
      </c>
      <c r="BE60" s="21">
        <f t="shared" si="49"/>
        <v>0</v>
      </c>
      <c r="BF60" s="21" t="s">
        <v>2492</v>
      </c>
      <c r="BG60" s="41">
        <v>34</v>
      </c>
    </row>
    <row r="61" spans="1:59" x14ac:dyDescent="0.3">
      <c r="A61" s="4" t="s">
        <v>54</v>
      </c>
      <c r="B61" s="13"/>
      <c r="C61" s="13" t="s">
        <v>1055</v>
      </c>
      <c r="D61" s="101" t="s">
        <v>1678</v>
      </c>
      <c r="E61" s="102"/>
      <c r="F61" s="13" t="s">
        <v>2387</v>
      </c>
      <c r="G61" s="21">
        <v>109.25295</v>
      </c>
      <c r="H61" s="21">
        <v>0</v>
      </c>
      <c r="I61" s="21">
        <f t="shared" si="26"/>
        <v>0</v>
      </c>
      <c r="J61" s="21">
        <f t="shared" si="27"/>
        <v>0</v>
      </c>
      <c r="K61" s="21">
        <f t="shared" si="28"/>
        <v>0</v>
      </c>
      <c r="L61" s="21">
        <v>2.2100000000000002E-2</v>
      </c>
      <c r="M61" s="21">
        <f t="shared" si="29"/>
        <v>2.414490195</v>
      </c>
      <c r="N61" s="35" t="s">
        <v>2417</v>
      </c>
      <c r="O61" s="39"/>
      <c r="U61" s="41">
        <f t="shared" si="30"/>
        <v>0</v>
      </c>
      <c r="W61" s="41">
        <f t="shared" si="31"/>
        <v>0</v>
      </c>
      <c r="X61" s="41">
        <f t="shared" si="32"/>
        <v>0</v>
      </c>
      <c r="Y61" s="41">
        <f t="shared" si="33"/>
        <v>0</v>
      </c>
      <c r="Z61" s="41">
        <f t="shared" si="34"/>
        <v>0</v>
      </c>
      <c r="AA61" s="41">
        <f t="shared" si="35"/>
        <v>0</v>
      </c>
      <c r="AB61" s="41">
        <f t="shared" si="36"/>
        <v>0</v>
      </c>
      <c r="AC61" s="41">
        <f t="shared" si="37"/>
        <v>0</v>
      </c>
      <c r="AD61" s="31"/>
      <c r="AE61" s="21">
        <f t="shared" si="38"/>
        <v>0</v>
      </c>
      <c r="AF61" s="21">
        <f t="shared" si="39"/>
        <v>0</v>
      </c>
      <c r="AG61" s="21">
        <f t="shared" si="40"/>
        <v>0</v>
      </c>
      <c r="AI61" s="41">
        <v>21</v>
      </c>
      <c r="AJ61" s="41">
        <f>H61*0.537787732921711</f>
        <v>0</v>
      </c>
      <c r="AK61" s="41">
        <f>H61*(1-0.537787732921711)</f>
        <v>0</v>
      </c>
      <c r="AL61" s="42" t="s">
        <v>7</v>
      </c>
      <c r="AQ61" s="41">
        <f t="shared" si="41"/>
        <v>0</v>
      </c>
      <c r="AR61" s="41">
        <f t="shared" si="42"/>
        <v>0</v>
      </c>
      <c r="AS61" s="41">
        <f t="shared" si="43"/>
        <v>0</v>
      </c>
      <c r="AT61" s="44" t="s">
        <v>2429</v>
      </c>
      <c r="AU61" s="44" t="s">
        <v>2476</v>
      </c>
      <c r="AV61" s="31" t="s">
        <v>2486</v>
      </c>
      <c r="AX61" s="41">
        <f t="shared" si="44"/>
        <v>0</v>
      </c>
      <c r="AY61" s="41">
        <f t="shared" si="45"/>
        <v>0</v>
      </c>
      <c r="AZ61" s="41">
        <v>0</v>
      </c>
      <c r="BA61" s="41">
        <f t="shared" si="46"/>
        <v>2.414490195</v>
      </c>
      <c r="BC61" s="21">
        <f t="shared" si="47"/>
        <v>0</v>
      </c>
      <c r="BD61" s="21">
        <f t="shared" si="48"/>
        <v>0</v>
      </c>
      <c r="BE61" s="21">
        <f t="shared" si="49"/>
        <v>0</v>
      </c>
      <c r="BF61" s="21" t="s">
        <v>2492</v>
      </c>
      <c r="BG61" s="41">
        <v>34</v>
      </c>
    </row>
    <row r="62" spans="1:59" x14ac:dyDescent="0.3">
      <c r="A62" s="4" t="s">
        <v>55</v>
      </c>
      <c r="B62" s="13"/>
      <c r="C62" s="13" t="s">
        <v>1056</v>
      </c>
      <c r="D62" s="101" t="s">
        <v>1679</v>
      </c>
      <c r="E62" s="102"/>
      <c r="F62" s="13" t="s">
        <v>2387</v>
      </c>
      <c r="G62" s="21">
        <v>58.464550000000003</v>
      </c>
      <c r="H62" s="21">
        <v>0</v>
      </c>
      <c r="I62" s="21">
        <f t="shared" si="26"/>
        <v>0</v>
      </c>
      <c r="J62" s="21">
        <f t="shared" si="27"/>
        <v>0</v>
      </c>
      <c r="K62" s="21">
        <f t="shared" si="28"/>
        <v>0</v>
      </c>
      <c r="L62" s="21">
        <v>2.265E-2</v>
      </c>
      <c r="M62" s="21">
        <f t="shared" si="29"/>
        <v>1.3242220575000001</v>
      </c>
      <c r="N62" s="35" t="s">
        <v>2417</v>
      </c>
      <c r="O62" s="39"/>
      <c r="U62" s="41">
        <f t="shared" si="30"/>
        <v>0</v>
      </c>
      <c r="W62" s="41">
        <f t="shared" si="31"/>
        <v>0</v>
      </c>
      <c r="X62" s="41">
        <f t="shared" si="32"/>
        <v>0</v>
      </c>
      <c r="Y62" s="41">
        <f t="shared" si="33"/>
        <v>0</v>
      </c>
      <c r="Z62" s="41">
        <f t="shared" si="34"/>
        <v>0</v>
      </c>
      <c r="AA62" s="41">
        <f t="shared" si="35"/>
        <v>0</v>
      </c>
      <c r="AB62" s="41">
        <f t="shared" si="36"/>
        <v>0</v>
      </c>
      <c r="AC62" s="41">
        <f t="shared" si="37"/>
        <v>0</v>
      </c>
      <c r="AD62" s="31"/>
      <c r="AE62" s="21">
        <f t="shared" si="38"/>
        <v>0</v>
      </c>
      <c r="AF62" s="21">
        <f t="shared" si="39"/>
        <v>0</v>
      </c>
      <c r="AG62" s="21">
        <f t="shared" si="40"/>
        <v>0</v>
      </c>
      <c r="AI62" s="41">
        <v>21</v>
      </c>
      <c r="AJ62" s="41">
        <f>H62*0.569330535882065</f>
        <v>0</v>
      </c>
      <c r="AK62" s="41">
        <f>H62*(1-0.569330535882065)</f>
        <v>0</v>
      </c>
      <c r="AL62" s="42" t="s">
        <v>7</v>
      </c>
      <c r="AQ62" s="41">
        <f t="shared" si="41"/>
        <v>0</v>
      </c>
      <c r="AR62" s="41">
        <f t="shared" si="42"/>
        <v>0</v>
      </c>
      <c r="AS62" s="41">
        <f t="shared" si="43"/>
        <v>0</v>
      </c>
      <c r="AT62" s="44" t="s">
        <v>2429</v>
      </c>
      <c r="AU62" s="44" t="s">
        <v>2476</v>
      </c>
      <c r="AV62" s="31" t="s">
        <v>2486</v>
      </c>
      <c r="AX62" s="41">
        <f t="shared" si="44"/>
        <v>0</v>
      </c>
      <c r="AY62" s="41">
        <f t="shared" si="45"/>
        <v>0</v>
      </c>
      <c r="AZ62" s="41">
        <v>0</v>
      </c>
      <c r="BA62" s="41">
        <f t="shared" si="46"/>
        <v>1.3242220575000001</v>
      </c>
      <c r="BC62" s="21">
        <f t="shared" si="47"/>
        <v>0</v>
      </c>
      <c r="BD62" s="21">
        <f t="shared" si="48"/>
        <v>0</v>
      </c>
      <c r="BE62" s="21">
        <f t="shared" si="49"/>
        <v>0</v>
      </c>
      <c r="BF62" s="21" t="s">
        <v>2492</v>
      </c>
      <c r="BG62" s="41">
        <v>34</v>
      </c>
    </row>
    <row r="63" spans="1:59" x14ac:dyDescent="0.3">
      <c r="A63" s="4" t="s">
        <v>56</v>
      </c>
      <c r="B63" s="13"/>
      <c r="C63" s="13" t="s">
        <v>1057</v>
      </c>
      <c r="D63" s="101" t="s">
        <v>1680</v>
      </c>
      <c r="E63" s="102"/>
      <c r="F63" s="13" t="s">
        <v>2387</v>
      </c>
      <c r="G63" s="21">
        <v>21.118200000000002</v>
      </c>
      <c r="H63" s="21">
        <v>0</v>
      </c>
      <c r="I63" s="21">
        <f t="shared" si="26"/>
        <v>0</v>
      </c>
      <c r="J63" s="21">
        <f t="shared" si="27"/>
        <v>0</v>
      </c>
      <c r="K63" s="21">
        <f t="shared" si="28"/>
        <v>0</v>
      </c>
      <c r="L63" s="21">
        <v>6.4409999999999995E-2</v>
      </c>
      <c r="M63" s="21">
        <f t="shared" si="29"/>
        <v>1.3602232620000001</v>
      </c>
      <c r="N63" s="35" t="s">
        <v>2417</v>
      </c>
      <c r="O63" s="39"/>
      <c r="U63" s="41">
        <f t="shared" si="30"/>
        <v>0</v>
      </c>
      <c r="W63" s="41">
        <f t="shared" si="31"/>
        <v>0</v>
      </c>
      <c r="X63" s="41">
        <f t="shared" si="32"/>
        <v>0</v>
      </c>
      <c r="Y63" s="41">
        <f t="shared" si="33"/>
        <v>0</v>
      </c>
      <c r="Z63" s="41">
        <f t="shared" si="34"/>
        <v>0</v>
      </c>
      <c r="AA63" s="41">
        <f t="shared" si="35"/>
        <v>0</v>
      </c>
      <c r="AB63" s="41">
        <f t="shared" si="36"/>
        <v>0</v>
      </c>
      <c r="AC63" s="41">
        <f t="shared" si="37"/>
        <v>0</v>
      </c>
      <c r="AD63" s="31"/>
      <c r="AE63" s="21">
        <f t="shared" si="38"/>
        <v>0</v>
      </c>
      <c r="AF63" s="21">
        <f t="shared" si="39"/>
        <v>0</v>
      </c>
      <c r="AG63" s="21">
        <f t="shared" si="40"/>
        <v>0</v>
      </c>
      <c r="AI63" s="41">
        <v>21</v>
      </c>
      <c r="AJ63" s="41">
        <f>H63*0.663532874433953</f>
        <v>0</v>
      </c>
      <c r="AK63" s="41">
        <f>H63*(1-0.663532874433953)</f>
        <v>0</v>
      </c>
      <c r="AL63" s="42" t="s">
        <v>7</v>
      </c>
      <c r="AQ63" s="41">
        <f t="shared" si="41"/>
        <v>0</v>
      </c>
      <c r="AR63" s="41">
        <f t="shared" si="42"/>
        <v>0</v>
      </c>
      <c r="AS63" s="41">
        <f t="shared" si="43"/>
        <v>0</v>
      </c>
      <c r="AT63" s="44" t="s">
        <v>2429</v>
      </c>
      <c r="AU63" s="44" t="s">
        <v>2476</v>
      </c>
      <c r="AV63" s="31" t="s">
        <v>2486</v>
      </c>
      <c r="AX63" s="41">
        <f t="shared" si="44"/>
        <v>0</v>
      </c>
      <c r="AY63" s="41">
        <f t="shared" si="45"/>
        <v>0</v>
      </c>
      <c r="AZ63" s="41">
        <v>0</v>
      </c>
      <c r="BA63" s="41">
        <f t="shared" si="46"/>
        <v>1.3602232620000001</v>
      </c>
      <c r="BC63" s="21">
        <f t="shared" si="47"/>
        <v>0</v>
      </c>
      <c r="BD63" s="21">
        <f t="shared" si="48"/>
        <v>0</v>
      </c>
      <c r="BE63" s="21">
        <f t="shared" si="49"/>
        <v>0</v>
      </c>
      <c r="BF63" s="21" t="s">
        <v>2492</v>
      </c>
      <c r="BG63" s="41">
        <v>34</v>
      </c>
    </row>
    <row r="64" spans="1:59" x14ac:dyDescent="0.3">
      <c r="A64" s="4" t="s">
        <v>57</v>
      </c>
      <c r="B64" s="13"/>
      <c r="C64" s="13" t="s">
        <v>1058</v>
      </c>
      <c r="D64" s="101" t="s">
        <v>1681</v>
      </c>
      <c r="E64" s="102"/>
      <c r="F64" s="13" t="s">
        <v>2387</v>
      </c>
      <c r="G64" s="21">
        <v>19.65645</v>
      </c>
      <c r="H64" s="21">
        <v>0</v>
      </c>
      <c r="I64" s="21">
        <f t="shared" si="26"/>
        <v>0</v>
      </c>
      <c r="J64" s="21">
        <f t="shared" si="27"/>
        <v>0</v>
      </c>
      <c r="K64" s="21">
        <f t="shared" si="28"/>
        <v>0</v>
      </c>
      <c r="L64" s="21">
        <v>2.189E-2</v>
      </c>
      <c r="M64" s="21">
        <f t="shared" si="29"/>
        <v>0.43027969049999998</v>
      </c>
      <c r="N64" s="35" t="s">
        <v>2417</v>
      </c>
      <c r="O64" s="39"/>
      <c r="U64" s="41">
        <f t="shared" si="30"/>
        <v>0</v>
      </c>
      <c r="W64" s="41">
        <f t="shared" si="31"/>
        <v>0</v>
      </c>
      <c r="X64" s="41">
        <f t="shared" si="32"/>
        <v>0</v>
      </c>
      <c r="Y64" s="41">
        <f t="shared" si="33"/>
        <v>0</v>
      </c>
      <c r="Z64" s="41">
        <f t="shared" si="34"/>
        <v>0</v>
      </c>
      <c r="AA64" s="41">
        <f t="shared" si="35"/>
        <v>0</v>
      </c>
      <c r="AB64" s="41">
        <f t="shared" si="36"/>
        <v>0</v>
      </c>
      <c r="AC64" s="41">
        <f t="shared" si="37"/>
        <v>0</v>
      </c>
      <c r="AD64" s="31"/>
      <c r="AE64" s="21">
        <f t="shared" si="38"/>
        <v>0</v>
      </c>
      <c r="AF64" s="21">
        <f t="shared" si="39"/>
        <v>0</v>
      </c>
      <c r="AG64" s="21">
        <f t="shared" si="40"/>
        <v>0</v>
      </c>
      <c r="AI64" s="41">
        <v>21</v>
      </c>
      <c r="AJ64" s="41">
        <f>H64*0.482726919495048</f>
        <v>0</v>
      </c>
      <c r="AK64" s="41">
        <f>H64*(1-0.482726919495048)</f>
        <v>0</v>
      </c>
      <c r="AL64" s="42" t="s">
        <v>7</v>
      </c>
      <c r="AQ64" s="41">
        <f t="shared" si="41"/>
        <v>0</v>
      </c>
      <c r="AR64" s="41">
        <f t="shared" si="42"/>
        <v>0</v>
      </c>
      <c r="AS64" s="41">
        <f t="shared" si="43"/>
        <v>0</v>
      </c>
      <c r="AT64" s="44" t="s">
        <v>2429</v>
      </c>
      <c r="AU64" s="44" t="s">
        <v>2476</v>
      </c>
      <c r="AV64" s="31" t="s">
        <v>2486</v>
      </c>
      <c r="AX64" s="41">
        <f t="shared" si="44"/>
        <v>0</v>
      </c>
      <c r="AY64" s="41">
        <f t="shared" si="45"/>
        <v>0</v>
      </c>
      <c r="AZ64" s="41">
        <v>0</v>
      </c>
      <c r="BA64" s="41">
        <f t="shared" si="46"/>
        <v>0.43027969049999998</v>
      </c>
      <c r="BC64" s="21">
        <f t="shared" si="47"/>
        <v>0</v>
      </c>
      <c r="BD64" s="21">
        <f t="shared" si="48"/>
        <v>0</v>
      </c>
      <c r="BE64" s="21">
        <f t="shared" si="49"/>
        <v>0</v>
      </c>
      <c r="BF64" s="21" t="s">
        <v>2492</v>
      </c>
      <c r="BG64" s="41">
        <v>34</v>
      </c>
    </row>
    <row r="65" spans="1:59" x14ac:dyDescent="0.3">
      <c r="A65" s="4" t="s">
        <v>58</v>
      </c>
      <c r="B65" s="13"/>
      <c r="C65" s="13" t="s">
        <v>1059</v>
      </c>
      <c r="D65" s="101" t="s">
        <v>1682</v>
      </c>
      <c r="E65" s="102"/>
      <c r="F65" s="13" t="s">
        <v>2387</v>
      </c>
      <c r="G65" s="21">
        <v>339.31704999999999</v>
      </c>
      <c r="H65" s="21">
        <v>0</v>
      </c>
      <c r="I65" s="21">
        <f t="shared" si="26"/>
        <v>0</v>
      </c>
      <c r="J65" s="21">
        <f t="shared" si="27"/>
        <v>0</v>
      </c>
      <c r="K65" s="21">
        <f t="shared" si="28"/>
        <v>0</v>
      </c>
      <c r="L65" s="21">
        <v>3.5000000000000003E-2</v>
      </c>
      <c r="M65" s="21">
        <f t="shared" si="29"/>
        <v>11.87609675</v>
      </c>
      <c r="N65" s="35" t="s">
        <v>2417</v>
      </c>
      <c r="O65" s="39"/>
      <c r="U65" s="41">
        <f t="shared" si="30"/>
        <v>0</v>
      </c>
      <c r="W65" s="41">
        <f t="shared" si="31"/>
        <v>0</v>
      </c>
      <c r="X65" s="41">
        <f t="shared" si="32"/>
        <v>0</v>
      </c>
      <c r="Y65" s="41">
        <f t="shared" si="33"/>
        <v>0</v>
      </c>
      <c r="Z65" s="41">
        <f t="shared" si="34"/>
        <v>0</v>
      </c>
      <c r="AA65" s="41">
        <f t="shared" si="35"/>
        <v>0</v>
      </c>
      <c r="AB65" s="41">
        <f t="shared" si="36"/>
        <v>0</v>
      </c>
      <c r="AC65" s="41">
        <f t="shared" si="37"/>
        <v>0</v>
      </c>
      <c r="AD65" s="31"/>
      <c r="AE65" s="21">
        <f t="shared" si="38"/>
        <v>0</v>
      </c>
      <c r="AF65" s="21">
        <f t="shared" si="39"/>
        <v>0</v>
      </c>
      <c r="AG65" s="21">
        <f t="shared" si="40"/>
        <v>0</v>
      </c>
      <c r="AI65" s="41">
        <v>21</v>
      </c>
      <c r="AJ65" s="41">
        <f>H65*0.640226171091534</f>
        <v>0</v>
      </c>
      <c r="AK65" s="41">
        <f>H65*(1-0.640226171091534)</f>
        <v>0</v>
      </c>
      <c r="AL65" s="42" t="s">
        <v>7</v>
      </c>
      <c r="AQ65" s="41">
        <f t="shared" si="41"/>
        <v>0</v>
      </c>
      <c r="AR65" s="41">
        <f t="shared" si="42"/>
        <v>0</v>
      </c>
      <c r="AS65" s="41">
        <f t="shared" si="43"/>
        <v>0</v>
      </c>
      <c r="AT65" s="44" t="s">
        <v>2429</v>
      </c>
      <c r="AU65" s="44" t="s">
        <v>2476</v>
      </c>
      <c r="AV65" s="31" t="s">
        <v>2486</v>
      </c>
      <c r="AX65" s="41">
        <f t="shared" si="44"/>
        <v>0</v>
      </c>
      <c r="AY65" s="41">
        <f t="shared" si="45"/>
        <v>0</v>
      </c>
      <c r="AZ65" s="41">
        <v>0</v>
      </c>
      <c r="BA65" s="41">
        <f t="shared" si="46"/>
        <v>11.87609675</v>
      </c>
      <c r="BC65" s="21">
        <f t="shared" si="47"/>
        <v>0</v>
      </c>
      <c r="BD65" s="21">
        <f t="shared" si="48"/>
        <v>0</v>
      </c>
      <c r="BE65" s="21">
        <f t="shared" si="49"/>
        <v>0</v>
      </c>
      <c r="BF65" s="21" t="s">
        <v>2492</v>
      </c>
      <c r="BG65" s="41">
        <v>34</v>
      </c>
    </row>
    <row r="66" spans="1:59" x14ac:dyDescent="0.3">
      <c r="A66" s="4" t="s">
        <v>59</v>
      </c>
      <c r="B66" s="13"/>
      <c r="C66" s="13" t="s">
        <v>1060</v>
      </c>
      <c r="D66" s="101" t="s">
        <v>1683</v>
      </c>
      <c r="E66" s="102"/>
      <c r="F66" s="13" t="s">
        <v>2387</v>
      </c>
      <c r="G66" s="21">
        <v>211.12844999999999</v>
      </c>
      <c r="H66" s="21">
        <v>0</v>
      </c>
      <c r="I66" s="21">
        <f t="shared" si="26"/>
        <v>0</v>
      </c>
      <c r="J66" s="21">
        <f t="shared" si="27"/>
        <v>0</v>
      </c>
      <c r="K66" s="21">
        <f t="shared" si="28"/>
        <v>0</v>
      </c>
      <c r="L66" s="21">
        <v>7.0000000000000007E-2</v>
      </c>
      <c r="M66" s="21">
        <f t="shared" si="29"/>
        <v>14.7789915</v>
      </c>
      <c r="N66" s="35" t="s">
        <v>2417</v>
      </c>
      <c r="O66" s="39"/>
      <c r="U66" s="41">
        <f t="shared" si="30"/>
        <v>0</v>
      </c>
      <c r="W66" s="41">
        <f t="shared" si="31"/>
        <v>0</v>
      </c>
      <c r="X66" s="41">
        <f t="shared" si="32"/>
        <v>0</v>
      </c>
      <c r="Y66" s="41">
        <f t="shared" si="33"/>
        <v>0</v>
      </c>
      <c r="Z66" s="41">
        <f t="shared" si="34"/>
        <v>0</v>
      </c>
      <c r="AA66" s="41">
        <f t="shared" si="35"/>
        <v>0</v>
      </c>
      <c r="AB66" s="41">
        <f t="shared" si="36"/>
        <v>0</v>
      </c>
      <c r="AC66" s="41">
        <f t="shared" si="37"/>
        <v>0</v>
      </c>
      <c r="AD66" s="31"/>
      <c r="AE66" s="21">
        <f t="shared" si="38"/>
        <v>0</v>
      </c>
      <c r="AF66" s="21">
        <f t="shared" si="39"/>
        <v>0</v>
      </c>
      <c r="AG66" s="21">
        <f t="shared" si="40"/>
        <v>0</v>
      </c>
      <c r="AI66" s="41">
        <v>21</v>
      </c>
      <c r="AJ66" s="41">
        <f>H66*0.82958866208455</f>
        <v>0</v>
      </c>
      <c r="AK66" s="41">
        <f>H66*(1-0.82958866208455)</f>
        <v>0</v>
      </c>
      <c r="AL66" s="42" t="s">
        <v>7</v>
      </c>
      <c r="AQ66" s="41">
        <f t="shared" si="41"/>
        <v>0</v>
      </c>
      <c r="AR66" s="41">
        <f t="shared" si="42"/>
        <v>0</v>
      </c>
      <c r="AS66" s="41">
        <f t="shared" si="43"/>
        <v>0</v>
      </c>
      <c r="AT66" s="44" t="s">
        <v>2429</v>
      </c>
      <c r="AU66" s="44" t="s">
        <v>2476</v>
      </c>
      <c r="AV66" s="31" t="s">
        <v>2486</v>
      </c>
      <c r="AX66" s="41">
        <f t="shared" si="44"/>
        <v>0</v>
      </c>
      <c r="AY66" s="41">
        <f t="shared" si="45"/>
        <v>0</v>
      </c>
      <c r="AZ66" s="41">
        <v>0</v>
      </c>
      <c r="BA66" s="41">
        <f t="shared" si="46"/>
        <v>14.7789915</v>
      </c>
      <c r="BC66" s="21">
        <f t="shared" si="47"/>
        <v>0</v>
      </c>
      <c r="BD66" s="21">
        <f t="shared" si="48"/>
        <v>0</v>
      </c>
      <c r="BE66" s="21">
        <f t="shared" si="49"/>
        <v>0</v>
      </c>
      <c r="BF66" s="21" t="s">
        <v>2492</v>
      </c>
      <c r="BG66" s="41">
        <v>34</v>
      </c>
    </row>
    <row r="67" spans="1:59" x14ac:dyDescent="0.3">
      <c r="A67" s="4" t="s">
        <v>60</v>
      </c>
      <c r="B67" s="13"/>
      <c r="C67" s="13" t="s">
        <v>1061</v>
      </c>
      <c r="D67" s="101" t="s">
        <v>1684</v>
      </c>
      <c r="E67" s="102"/>
      <c r="F67" s="13" t="s">
        <v>2387</v>
      </c>
      <c r="G67" s="21">
        <v>79.840599999999995</v>
      </c>
      <c r="H67" s="21">
        <v>0</v>
      </c>
      <c r="I67" s="21">
        <f t="shared" si="26"/>
        <v>0</v>
      </c>
      <c r="J67" s="21">
        <f t="shared" si="27"/>
        <v>0</v>
      </c>
      <c r="K67" s="21">
        <f t="shared" si="28"/>
        <v>0</v>
      </c>
      <c r="L67" s="21">
        <v>3.0300000000000001E-3</v>
      </c>
      <c r="M67" s="21">
        <f t="shared" si="29"/>
        <v>0.24191701799999998</v>
      </c>
      <c r="N67" s="35" t="s">
        <v>2417</v>
      </c>
      <c r="O67" s="39"/>
      <c r="U67" s="41">
        <f t="shared" si="30"/>
        <v>0</v>
      </c>
      <c r="W67" s="41">
        <f t="shared" si="31"/>
        <v>0</v>
      </c>
      <c r="X67" s="41">
        <f t="shared" si="32"/>
        <v>0</v>
      </c>
      <c r="Y67" s="41">
        <f t="shared" si="33"/>
        <v>0</v>
      </c>
      <c r="Z67" s="41">
        <f t="shared" si="34"/>
        <v>0</v>
      </c>
      <c r="AA67" s="41">
        <f t="shared" si="35"/>
        <v>0</v>
      </c>
      <c r="AB67" s="41">
        <f t="shared" si="36"/>
        <v>0</v>
      </c>
      <c r="AC67" s="41">
        <f t="shared" si="37"/>
        <v>0</v>
      </c>
      <c r="AD67" s="31"/>
      <c r="AE67" s="21">
        <f t="shared" si="38"/>
        <v>0</v>
      </c>
      <c r="AF67" s="21">
        <f t="shared" si="39"/>
        <v>0</v>
      </c>
      <c r="AG67" s="21">
        <f t="shared" si="40"/>
        <v>0</v>
      </c>
      <c r="AI67" s="41">
        <v>21</v>
      </c>
      <c r="AJ67" s="41">
        <f>H67*0.344032139284275</f>
        <v>0</v>
      </c>
      <c r="AK67" s="41">
        <f>H67*(1-0.344032139284275)</f>
        <v>0</v>
      </c>
      <c r="AL67" s="42" t="s">
        <v>7</v>
      </c>
      <c r="AQ67" s="41">
        <f t="shared" si="41"/>
        <v>0</v>
      </c>
      <c r="AR67" s="41">
        <f t="shared" si="42"/>
        <v>0</v>
      </c>
      <c r="AS67" s="41">
        <f t="shared" si="43"/>
        <v>0</v>
      </c>
      <c r="AT67" s="44" t="s">
        <v>2429</v>
      </c>
      <c r="AU67" s="44" t="s">
        <v>2476</v>
      </c>
      <c r="AV67" s="31" t="s">
        <v>2486</v>
      </c>
      <c r="AX67" s="41">
        <f t="shared" si="44"/>
        <v>0</v>
      </c>
      <c r="AY67" s="41">
        <f t="shared" si="45"/>
        <v>0</v>
      </c>
      <c r="AZ67" s="41">
        <v>0</v>
      </c>
      <c r="BA67" s="41">
        <f t="shared" si="46"/>
        <v>0.24191701799999998</v>
      </c>
      <c r="BC67" s="21">
        <f t="shared" si="47"/>
        <v>0</v>
      </c>
      <c r="BD67" s="21">
        <f t="shared" si="48"/>
        <v>0</v>
      </c>
      <c r="BE67" s="21">
        <f t="shared" si="49"/>
        <v>0</v>
      </c>
      <c r="BF67" s="21" t="s">
        <v>2492</v>
      </c>
      <c r="BG67" s="41">
        <v>34</v>
      </c>
    </row>
    <row r="68" spans="1:59" x14ac:dyDescent="0.3">
      <c r="A68" s="4" t="s">
        <v>61</v>
      </c>
      <c r="B68" s="13"/>
      <c r="C68" s="13" t="s">
        <v>1062</v>
      </c>
      <c r="D68" s="101" t="s">
        <v>1685</v>
      </c>
      <c r="E68" s="102"/>
      <c r="F68" s="13" t="s">
        <v>2387</v>
      </c>
      <c r="G68" s="21">
        <v>42.692599999999999</v>
      </c>
      <c r="H68" s="21">
        <v>0</v>
      </c>
      <c r="I68" s="21">
        <f t="shared" si="26"/>
        <v>0</v>
      </c>
      <c r="J68" s="21">
        <f t="shared" si="27"/>
        <v>0</v>
      </c>
      <c r="K68" s="21">
        <f t="shared" si="28"/>
        <v>0</v>
      </c>
      <c r="L68" s="21">
        <v>5.0610000000000002E-2</v>
      </c>
      <c r="M68" s="21">
        <f t="shared" si="29"/>
        <v>2.1606724860000002</v>
      </c>
      <c r="N68" s="35" t="s">
        <v>2417</v>
      </c>
      <c r="O68" s="39"/>
      <c r="U68" s="41">
        <f t="shared" si="30"/>
        <v>0</v>
      </c>
      <c r="W68" s="41">
        <f t="shared" si="31"/>
        <v>0</v>
      </c>
      <c r="X68" s="41">
        <f t="shared" si="32"/>
        <v>0</v>
      </c>
      <c r="Y68" s="41">
        <f t="shared" si="33"/>
        <v>0</v>
      </c>
      <c r="Z68" s="41">
        <f t="shared" si="34"/>
        <v>0</v>
      </c>
      <c r="AA68" s="41">
        <f t="shared" si="35"/>
        <v>0</v>
      </c>
      <c r="AB68" s="41">
        <f t="shared" si="36"/>
        <v>0</v>
      </c>
      <c r="AC68" s="41">
        <f t="shared" si="37"/>
        <v>0</v>
      </c>
      <c r="AD68" s="31"/>
      <c r="AE68" s="21">
        <f t="shared" si="38"/>
        <v>0</v>
      </c>
      <c r="AF68" s="21">
        <f t="shared" si="39"/>
        <v>0</v>
      </c>
      <c r="AG68" s="21">
        <f t="shared" si="40"/>
        <v>0</v>
      </c>
      <c r="AI68" s="41">
        <v>21</v>
      </c>
      <c r="AJ68" s="41">
        <f>H68*0.525179911771798</f>
        <v>0</v>
      </c>
      <c r="AK68" s="41">
        <f>H68*(1-0.525179911771798)</f>
        <v>0</v>
      </c>
      <c r="AL68" s="42" t="s">
        <v>7</v>
      </c>
      <c r="AQ68" s="41">
        <f t="shared" si="41"/>
        <v>0</v>
      </c>
      <c r="AR68" s="41">
        <f t="shared" si="42"/>
        <v>0</v>
      </c>
      <c r="AS68" s="41">
        <f t="shared" si="43"/>
        <v>0</v>
      </c>
      <c r="AT68" s="44" t="s">
        <v>2429</v>
      </c>
      <c r="AU68" s="44" t="s">
        <v>2476</v>
      </c>
      <c r="AV68" s="31" t="s">
        <v>2486</v>
      </c>
      <c r="AX68" s="41">
        <f t="shared" si="44"/>
        <v>0</v>
      </c>
      <c r="AY68" s="41">
        <f t="shared" si="45"/>
        <v>0</v>
      </c>
      <c r="AZ68" s="41">
        <v>0</v>
      </c>
      <c r="BA68" s="41">
        <f t="shared" si="46"/>
        <v>2.1606724860000002</v>
      </c>
      <c r="BC68" s="21">
        <f t="shared" si="47"/>
        <v>0</v>
      </c>
      <c r="BD68" s="21">
        <f t="shared" si="48"/>
        <v>0</v>
      </c>
      <c r="BE68" s="21">
        <f t="shared" si="49"/>
        <v>0</v>
      </c>
      <c r="BF68" s="21" t="s">
        <v>2492</v>
      </c>
      <c r="BG68" s="41">
        <v>34</v>
      </c>
    </row>
    <row r="69" spans="1:59" x14ac:dyDescent="0.3">
      <c r="A69" s="4" t="s">
        <v>62</v>
      </c>
      <c r="B69" s="13"/>
      <c r="C69" s="13" t="s">
        <v>1063</v>
      </c>
      <c r="D69" s="101" t="s">
        <v>1686</v>
      </c>
      <c r="E69" s="102"/>
      <c r="F69" s="13" t="s">
        <v>2387</v>
      </c>
      <c r="G69" s="21">
        <v>104.76555999999999</v>
      </c>
      <c r="H69" s="21">
        <v>0</v>
      </c>
      <c r="I69" s="21">
        <f t="shared" si="26"/>
        <v>0</v>
      </c>
      <c r="J69" s="21">
        <f t="shared" si="27"/>
        <v>0</v>
      </c>
      <c r="K69" s="21">
        <f t="shared" si="28"/>
        <v>0</v>
      </c>
      <c r="L69" s="21">
        <v>4.8099999999999997E-2</v>
      </c>
      <c r="M69" s="21">
        <f t="shared" si="29"/>
        <v>5.0392234359999994</v>
      </c>
      <c r="N69" s="35" t="s">
        <v>2417</v>
      </c>
      <c r="O69" s="39"/>
      <c r="U69" s="41">
        <f t="shared" si="30"/>
        <v>0</v>
      </c>
      <c r="W69" s="41">
        <f t="shared" si="31"/>
        <v>0</v>
      </c>
      <c r="X69" s="41">
        <f t="shared" si="32"/>
        <v>0</v>
      </c>
      <c r="Y69" s="41">
        <f t="shared" si="33"/>
        <v>0</v>
      </c>
      <c r="Z69" s="41">
        <f t="shared" si="34"/>
        <v>0</v>
      </c>
      <c r="AA69" s="41">
        <f t="shared" si="35"/>
        <v>0</v>
      </c>
      <c r="AB69" s="41">
        <f t="shared" si="36"/>
        <v>0</v>
      </c>
      <c r="AC69" s="41">
        <f t="shared" si="37"/>
        <v>0</v>
      </c>
      <c r="AD69" s="31"/>
      <c r="AE69" s="21">
        <f t="shared" si="38"/>
        <v>0</v>
      </c>
      <c r="AF69" s="21">
        <f t="shared" si="39"/>
        <v>0</v>
      </c>
      <c r="AG69" s="21">
        <f t="shared" si="40"/>
        <v>0</v>
      </c>
      <c r="AI69" s="41">
        <v>21</v>
      </c>
      <c r="AJ69" s="41">
        <f>H69*0.597521310044236</f>
        <v>0</v>
      </c>
      <c r="AK69" s="41">
        <f>H69*(1-0.597521310044236)</f>
        <v>0</v>
      </c>
      <c r="AL69" s="42" t="s">
        <v>7</v>
      </c>
      <c r="AQ69" s="41">
        <f t="shared" si="41"/>
        <v>0</v>
      </c>
      <c r="AR69" s="41">
        <f t="shared" si="42"/>
        <v>0</v>
      </c>
      <c r="AS69" s="41">
        <f t="shared" si="43"/>
        <v>0</v>
      </c>
      <c r="AT69" s="44" t="s">
        <v>2429</v>
      </c>
      <c r="AU69" s="44" t="s">
        <v>2476</v>
      </c>
      <c r="AV69" s="31" t="s">
        <v>2486</v>
      </c>
      <c r="AX69" s="41">
        <f t="shared" si="44"/>
        <v>0</v>
      </c>
      <c r="AY69" s="41">
        <f t="shared" si="45"/>
        <v>0</v>
      </c>
      <c r="AZ69" s="41">
        <v>0</v>
      </c>
      <c r="BA69" s="41">
        <f t="shared" si="46"/>
        <v>5.0392234359999994</v>
      </c>
      <c r="BC69" s="21">
        <f t="shared" si="47"/>
        <v>0</v>
      </c>
      <c r="BD69" s="21">
        <f t="shared" si="48"/>
        <v>0</v>
      </c>
      <c r="BE69" s="21">
        <f t="shared" si="49"/>
        <v>0</v>
      </c>
      <c r="BF69" s="21" t="s">
        <v>2492</v>
      </c>
      <c r="BG69" s="41">
        <v>34</v>
      </c>
    </row>
    <row r="70" spans="1:59" x14ac:dyDescent="0.3">
      <c r="A70" s="4" t="s">
        <v>63</v>
      </c>
      <c r="B70" s="13"/>
      <c r="C70" s="13" t="s">
        <v>1064</v>
      </c>
      <c r="D70" s="101" t="s">
        <v>1687</v>
      </c>
      <c r="E70" s="102"/>
      <c r="F70" s="13" t="s">
        <v>2388</v>
      </c>
      <c r="G70" s="21">
        <v>672</v>
      </c>
      <c r="H70" s="21">
        <v>0</v>
      </c>
      <c r="I70" s="21">
        <f t="shared" si="26"/>
        <v>0</v>
      </c>
      <c r="J70" s="21">
        <f t="shared" si="27"/>
        <v>0</v>
      </c>
      <c r="K70" s="21">
        <f t="shared" si="28"/>
        <v>0</v>
      </c>
      <c r="L70" s="21">
        <v>6.0000000000000002E-5</v>
      </c>
      <c r="M70" s="21">
        <f t="shared" si="29"/>
        <v>4.0320000000000002E-2</v>
      </c>
      <c r="N70" s="35" t="s">
        <v>2417</v>
      </c>
      <c r="O70" s="39"/>
      <c r="U70" s="41">
        <f t="shared" si="30"/>
        <v>0</v>
      </c>
      <c r="W70" s="41">
        <f t="shared" si="31"/>
        <v>0</v>
      </c>
      <c r="X70" s="41">
        <f t="shared" si="32"/>
        <v>0</v>
      </c>
      <c r="Y70" s="41">
        <f t="shared" si="33"/>
        <v>0</v>
      </c>
      <c r="Z70" s="41">
        <f t="shared" si="34"/>
        <v>0</v>
      </c>
      <c r="AA70" s="41">
        <f t="shared" si="35"/>
        <v>0</v>
      </c>
      <c r="AB70" s="41">
        <f t="shared" si="36"/>
        <v>0</v>
      </c>
      <c r="AC70" s="41">
        <f t="shared" si="37"/>
        <v>0</v>
      </c>
      <c r="AD70" s="31"/>
      <c r="AE70" s="21">
        <f t="shared" si="38"/>
        <v>0</v>
      </c>
      <c r="AF70" s="21">
        <f t="shared" si="39"/>
        <v>0</v>
      </c>
      <c r="AG70" s="21">
        <f t="shared" si="40"/>
        <v>0</v>
      </c>
      <c r="AI70" s="41">
        <v>21</v>
      </c>
      <c r="AJ70" s="41">
        <f>H70*0.108477366255144</f>
        <v>0</v>
      </c>
      <c r="AK70" s="41">
        <f>H70*(1-0.108477366255144)</f>
        <v>0</v>
      </c>
      <c r="AL70" s="42" t="s">
        <v>7</v>
      </c>
      <c r="AQ70" s="41">
        <f t="shared" si="41"/>
        <v>0</v>
      </c>
      <c r="AR70" s="41">
        <f t="shared" si="42"/>
        <v>0</v>
      </c>
      <c r="AS70" s="41">
        <f t="shared" si="43"/>
        <v>0</v>
      </c>
      <c r="AT70" s="44" t="s">
        <v>2429</v>
      </c>
      <c r="AU70" s="44" t="s">
        <v>2476</v>
      </c>
      <c r="AV70" s="31" t="s">
        <v>2486</v>
      </c>
      <c r="AX70" s="41">
        <f t="shared" si="44"/>
        <v>0</v>
      </c>
      <c r="AY70" s="41">
        <f t="shared" si="45"/>
        <v>0</v>
      </c>
      <c r="AZ70" s="41">
        <v>0</v>
      </c>
      <c r="BA70" s="41">
        <f t="shared" si="46"/>
        <v>4.0320000000000002E-2</v>
      </c>
      <c r="BC70" s="21">
        <f t="shared" si="47"/>
        <v>0</v>
      </c>
      <c r="BD70" s="21">
        <f t="shared" si="48"/>
        <v>0</v>
      </c>
      <c r="BE70" s="21">
        <f t="shared" si="49"/>
        <v>0</v>
      </c>
      <c r="BF70" s="21" t="s">
        <v>2492</v>
      </c>
      <c r="BG70" s="41">
        <v>34</v>
      </c>
    </row>
    <row r="71" spans="1:59" x14ac:dyDescent="0.3">
      <c r="A71" s="6" t="s">
        <v>64</v>
      </c>
      <c r="B71" s="15"/>
      <c r="C71" s="15" t="s">
        <v>1065</v>
      </c>
      <c r="D71" s="107" t="s">
        <v>1688</v>
      </c>
      <c r="E71" s="108"/>
      <c r="F71" s="15" t="s">
        <v>2389</v>
      </c>
      <c r="G71" s="22">
        <v>0.73823000000000005</v>
      </c>
      <c r="H71" s="21">
        <v>0</v>
      </c>
      <c r="I71" s="22">
        <f t="shared" si="26"/>
        <v>0</v>
      </c>
      <c r="J71" s="22">
        <f t="shared" si="27"/>
        <v>0</v>
      </c>
      <c r="K71" s="22">
        <f t="shared" si="28"/>
        <v>0</v>
      </c>
      <c r="L71" s="22">
        <v>1</v>
      </c>
      <c r="M71" s="22">
        <f t="shared" si="29"/>
        <v>0.73823000000000005</v>
      </c>
      <c r="N71" s="37" t="s">
        <v>2417</v>
      </c>
      <c r="O71" s="39"/>
      <c r="U71" s="41">
        <f t="shared" si="30"/>
        <v>0</v>
      </c>
      <c r="W71" s="41">
        <f t="shared" si="31"/>
        <v>0</v>
      </c>
      <c r="X71" s="41">
        <f t="shared" si="32"/>
        <v>0</v>
      </c>
      <c r="Y71" s="41">
        <f t="shared" si="33"/>
        <v>0</v>
      </c>
      <c r="Z71" s="41">
        <f t="shared" si="34"/>
        <v>0</v>
      </c>
      <c r="AA71" s="41">
        <f t="shared" si="35"/>
        <v>0</v>
      </c>
      <c r="AB71" s="41">
        <f t="shared" si="36"/>
        <v>0</v>
      </c>
      <c r="AC71" s="41">
        <f t="shared" si="37"/>
        <v>0</v>
      </c>
      <c r="AD71" s="31"/>
      <c r="AE71" s="22">
        <f t="shared" si="38"/>
        <v>0</v>
      </c>
      <c r="AF71" s="22">
        <f t="shared" si="39"/>
        <v>0</v>
      </c>
      <c r="AG71" s="22">
        <f t="shared" si="40"/>
        <v>0</v>
      </c>
      <c r="AI71" s="41">
        <v>21</v>
      </c>
      <c r="AJ71" s="41">
        <f>H71*1</f>
        <v>0</v>
      </c>
      <c r="AK71" s="41">
        <f>H71*(1-1)</f>
        <v>0</v>
      </c>
      <c r="AL71" s="43" t="s">
        <v>7</v>
      </c>
      <c r="AQ71" s="41">
        <f t="shared" si="41"/>
        <v>0</v>
      </c>
      <c r="AR71" s="41">
        <f t="shared" si="42"/>
        <v>0</v>
      </c>
      <c r="AS71" s="41">
        <f t="shared" si="43"/>
        <v>0</v>
      </c>
      <c r="AT71" s="44" t="s">
        <v>2429</v>
      </c>
      <c r="AU71" s="44" t="s">
        <v>2476</v>
      </c>
      <c r="AV71" s="31" t="s">
        <v>2486</v>
      </c>
      <c r="AX71" s="41">
        <f t="shared" si="44"/>
        <v>0</v>
      </c>
      <c r="AY71" s="41">
        <f t="shared" si="45"/>
        <v>0</v>
      </c>
      <c r="AZ71" s="41">
        <v>0</v>
      </c>
      <c r="BA71" s="41">
        <f t="shared" si="46"/>
        <v>0.73823000000000005</v>
      </c>
      <c r="BC71" s="22">
        <f t="shared" si="47"/>
        <v>0</v>
      </c>
      <c r="BD71" s="22">
        <f t="shared" si="48"/>
        <v>0</v>
      </c>
      <c r="BE71" s="22">
        <f t="shared" si="49"/>
        <v>0</v>
      </c>
      <c r="BF71" s="22" t="s">
        <v>1341</v>
      </c>
      <c r="BG71" s="41">
        <v>34</v>
      </c>
    </row>
    <row r="72" spans="1:59" x14ac:dyDescent="0.3">
      <c r="A72" s="5"/>
      <c r="B72" s="14"/>
      <c r="C72" s="14" t="s">
        <v>47</v>
      </c>
      <c r="D72" s="103" t="s">
        <v>1689</v>
      </c>
      <c r="E72" s="104"/>
      <c r="F72" s="19" t="s">
        <v>6</v>
      </c>
      <c r="G72" s="19" t="s">
        <v>6</v>
      </c>
      <c r="H72" s="19" t="s">
        <v>6</v>
      </c>
      <c r="I72" s="47">
        <f>SUM(I73:I73)</f>
        <v>0</v>
      </c>
      <c r="J72" s="47">
        <f>SUM(J73:J73)</f>
        <v>0</v>
      </c>
      <c r="K72" s="47">
        <f>SUM(K73:K73)</f>
        <v>0</v>
      </c>
      <c r="L72" s="31"/>
      <c r="M72" s="47">
        <f>SUM(M73:M73)</f>
        <v>1.2316590000000001</v>
      </c>
      <c r="N72" s="36"/>
      <c r="O72" s="39"/>
      <c r="AD72" s="31"/>
      <c r="AN72" s="47">
        <f>SUM(AE73:AE73)</f>
        <v>0</v>
      </c>
      <c r="AO72" s="47">
        <f>SUM(AF73:AF73)</f>
        <v>0</v>
      </c>
      <c r="AP72" s="47">
        <f>SUM(AG73:AG73)</f>
        <v>0</v>
      </c>
    </row>
    <row r="73" spans="1:59" x14ac:dyDescent="0.3">
      <c r="A73" s="4" t="s">
        <v>65</v>
      </c>
      <c r="B73" s="13"/>
      <c r="C73" s="13" t="s">
        <v>1066</v>
      </c>
      <c r="D73" s="101" t="s">
        <v>1690</v>
      </c>
      <c r="E73" s="102"/>
      <c r="F73" s="13" t="s">
        <v>2387</v>
      </c>
      <c r="G73" s="21">
        <v>108.9</v>
      </c>
      <c r="H73" s="21">
        <v>0</v>
      </c>
      <c r="I73" s="21">
        <f>G73*AJ73</f>
        <v>0</v>
      </c>
      <c r="J73" s="21">
        <f>G73*AK73</f>
        <v>0</v>
      </c>
      <c r="K73" s="21">
        <f>G73*H73</f>
        <v>0</v>
      </c>
      <c r="L73" s="21">
        <v>1.1310000000000001E-2</v>
      </c>
      <c r="M73" s="21">
        <f>G73*L73</f>
        <v>1.2316590000000001</v>
      </c>
      <c r="N73" s="35" t="s">
        <v>2417</v>
      </c>
      <c r="O73" s="39"/>
      <c r="U73" s="41">
        <f>IF(AL73="5",BE73,0)</f>
        <v>0</v>
      </c>
      <c r="W73" s="41">
        <f>IF(AL73="1",BC73,0)</f>
        <v>0</v>
      </c>
      <c r="X73" s="41">
        <f>IF(AL73="1",BD73,0)</f>
        <v>0</v>
      </c>
      <c r="Y73" s="41">
        <f>IF(AL73="7",BC73,0)</f>
        <v>0</v>
      </c>
      <c r="Z73" s="41">
        <f>IF(AL73="7",BD73,0)</f>
        <v>0</v>
      </c>
      <c r="AA73" s="41">
        <f>IF(AL73="2",BC73,0)</f>
        <v>0</v>
      </c>
      <c r="AB73" s="41">
        <f>IF(AL73="2",BD73,0)</f>
        <v>0</v>
      </c>
      <c r="AC73" s="41">
        <f>IF(AL73="0",BE73,0)</f>
        <v>0</v>
      </c>
      <c r="AD73" s="31"/>
      <c r="AE73" s="21">
        <f>IF(AI73=0,K73,0)</f>
        <v>0</v>
      </c>
      <c r="AF73" s="21">
        <f>IF(AI73=15,K73,0)</f>
        <v>0</v>
      </c>
      <c r="AG73" s="21">
        <f>IF(AI73=21,K73,0)</f>
        <v>0</v>
      </c>
      <c r="AI73" s="41">
        <v>21</v>
      </c>
      <c r="AJ73" s="41">
        <f>H73*0.443993576017131</f>
        <v>0</v>
      </c>
      <c r="AK73" s="41">
        <f>H73*(1-0.443993576017131)</f>
        <v>0</v>
      </c>
      <c r="AL73" s="42" t="s">
        <v>7</v>
      </c>
      <c r="AQ73" s="41">
        <f>AR73+AS73</f>
        <v>0</v>
      </c>
      <c r="AR73" s="41">
        <f>G73*AJ73</f>
        <v>0</v>
      </c>
      <c r="AS73" s="41">
        <f>G73*AK73</f>
        <v>0</v>
      </c>
      <c r="AT73" s="44" t="s">
        <v>2430</v>
      </c>
      <c r="AU73" s="44" t="s">
        <v>2477</v>
      </c>
      <c r="AV73" s="31" t="s">
        <v>2486</v>
      </c>
      <c r="AX73" s="41">
        <f>AR73+AS73</f>
        <v>0</v>
      </c>
      <c r="AY73" s="41">
        <f>H73/(100-AZ73)*100</f>
        <v>0</v>
      </c>
      <c r="AZ73" s="41">
        <v>0</v>
      </c>
      <c r="BA73" s="41">
        <f>M73</f>
        <v>1.2316590000000001</v>
      </c>
      <c r="BC73" s="21">
        <f>G73*AJ73</f>
        <v>0</v>
      </c>
      <c r="BD73" s="21">
        <f>G73*AK73</f>
        <v>0</v>
      </c>
      <c r="BE73" s="21">
        <f>G73*H73</f>
        <v>0</v>
      </c>
      <c r="BF73" s="21" t="s">
        <v>2492</v>
      </c>
      <c r="BG73" s="41">
        <v>41</v>
      </c>
    </row>
    <row r="74" spans="1:59" x14ac:dyDescent="0.3">
      <c r="A74" s="5"/>
      <c r="B74" s="14"/>
      <c r="C74" s="14" t="s">
        <v>67</v>
      </c>
      <c r="D74" s="103" t="s">
        <v>1691</v>
      </c>
      <c r="E74" s="104"/>
      <c r="F74" s="19" t="s">
        <v>6</v>
      </c>
      <c r="G74" s="19" t="s">
        <v>6</v>
      </c>
      <c r="H74" s="19" t="s">
        <v>6</v>
      </c>
      <c r="I74" s="47">
        <f>SUM(I75:I80)</f>
        <v>0</v>
      </c>
      <c r="J74" s="47">
        <f>SUM(J75:J80)</f>
        <v>0</v>
      </c>
      <c r="K74" s="47">
        <f>SUM(K75:K80)</f>
        <v>0</v>
      </c>
      <c r="L74" s="31"/>
      <c r="M74" s="47">
        <f>SUM(M75:M80)</f>
        <v>1.55312329</v>
      </c>
      <c r="N74" s="36"/>
      <c r="O74" s="39"/>
      <c r="AD74" s="31"/>
      <c r="AN74" s="47">
        <f>SUM(AE75:AE80)</f>
        <v>0</v>
      </c>
      <c r="AO74" s="47">
        <f>SUM(AF75:AF80)</f>
        <v>0</v>
      </c>
      <c r="AP74" s="47">
        <f>SUM(AG75:AG80)</f>
        <v>0</v>
      </c>
    </row>
    <row r="75" spans="1:59" x14ac:dyDescent="0.3">
      <c r="A75" s="4" t="s">
        <v>66</v>
      </c>
      <c r="B75" s="13"/>
      <c r="C75" s="13" t="s">
        <v>1067</v>
      </c>
      <c r="D75" s="101" t="s">
        <v>1692</v>
      </c>
      <c r="E75" s="102"/>
      <c r="F75" s="13" t="s">
        <v>2387</v>
      </c>
      <c r="G75" s="21">
        <v>355</v>
      </c>
      <c r="H75" s="21">
        <v>0</v>
      </c>
      <c r="I75" s="21">
        <f t="shared" ref="I75:I80" si="50">G75*AJ75</f>
        <v>0</v>
      </c>
      <c r="J75" s="21">
        <f t="shared" ref="J75:J80" si="51">G75*AK75</f>
        <v>0</v>
      </c>
      <c r="K75" s="21">
        <f t="shared" ref="K75:K80" si="52">G75*H75</f>
        <v>0</v>
      </c>
      <c r="L75" s="21">
        <v>2.5200000000000001E-3</v>
      </c>
      <c r="M75" s="21">
        <f t="shared" ref="M75:M80" si="53">G75*L75</f>
        <v>0.89460000000000006</v>
      </c>
      <c r="N75" s="35" t="s">
        <v>2417</v>
      </c>
      <c r="O75" s="39"/>
      <c r="U75" s="41">
        <f t="shared" ref="U75:U80" si="54">IF(AL75="5",BE75,0)</f>
        <v>0</v>
      </c>
      <c r="W75" s="41">
        <f t="shared" ref="W75:W80" si="55">IF(AL75="1",BC75,0)</f>
        <v>0</v>
      </c>
      <c r="X75" s="41">
        <f t="shared" ref="X75:X80" si="56">IF(AL75="1",BD75,0)</f>
        <v>0</v>
      </c>
      <c r="Y75" s="41">
        <f t="shared" ref="Y75:Y80" si="57">IF(AL75="7",BC75,0)</f>
        <v>0</v>
      </c>
      <c r="Z75" s="41">
        <f t="shared" ref="Z75:Z80" si="58">IF(AL75="7",BD75,0)</f>
        <v>0</v>
      </c>
      <c r="AA75" s="41">
        <f t="shared" ref="AA75:AA80" si="59">IF(AL75="2",BC75,0)</f>
        <v>0</v>
      </c>
      <c r="AB75" s="41">
        <f t="shared" ref="AB75:AB80" si="60">IF(AL75="2",BD75,0)</f>
        <v>0</v>
      </c>
      <c r="AC75" s="41">
        <f t="shared" ref="AC75:AC80" si="61">IF(AL75="0",BE75,0)</f>
        <v>0</v>
      </c>
      <c r="AD75" s="31"/>
      <c r="AE75" s="21">
        <f t="shared" ref="AE75:AE80" si="62">IF(AI75=0,K75,0)</f>
        <v>0</v>
      </c>
      <c r="AF75" s="21">
        <f t="shared" ref="AF75:AF80" si="63">IF(AI75=15,K75,0)</f>
        <v>0</v>
      </c>
      <c r="AG75" s="21">
        <f t="shared" ref="AG75:AG80" si="64">IF(AI75=21,K75,0)</f>
        <v>0</v>
      </c>
      <c r="AI75" s="41">
        <v>21</v>
      </c>
      <c r="AJ75" s="41">
        <f>H75*0.136866359447005</f>
        <v>0</v>
      </c>
      <c r="AK75" s="41">
        <f>H75*(1-0.136866359447005)</f>
        <v>0</v>
      </c>
      <c r="AL75" s="42" t="s">
        <v>7</v>
      </c>
      <c r="AQ75" s="41">
        <f t="shared" ref="AQ75:AQ80" si="65">AR75+AS75</f>
        <v>0</v>
      </c>
      <c r="AR75" s="41">
        <f t="shared" ref="AR75:AR80" si="66">G75*AJ75</f>
        <v>0</v>
      </c>
      <c r="AS75" s="41">
        <f t="shared" ref="AS75:AS80" si="67">G75*AK75</f>
        <v>0</v>
      </c>
      <c r="AT75" s="44" t="s">
        <v>2431</v>
      </c>
      <c r="AU75" s="44" t="s">
        <v>2478</v>
      </c>
      <c r="AV75" s="31" t="s">
        <v>2486</v>
      </c>
      <c r="AX75" s="41">
        <f t="shared" ref="AX75:AX80" si="68">AR75+AS75</f>
        <v>0</v>
      </c>
      <c r="AY75" s="41">
        <f t="shared" ref="AY75:AY80" si="69">H75/(100-AZ75)*100</f>
        <v>0</v>
      </c>
      <c r="AZ75" s="41">
        <v>0</v>
      </c>
      <c r="BA75" s="41">
        <f t="shared" ref="BA75:BA80" si="70">M75</f>
        <v>0.89460000000000006</v>
      </c>
      <c r="BC75" s="21">
        <f t="shared" ref="BC75:BC80" si="71">G75*AJ75</f>
        <v>0</v>
      </c>
      <c r="BD75" s="21">
        <f t="shared" ref="BD75:BD80" si="72">G75*AK75</f>
        <v>0</v>
      </c>
      <c r="BE75" s="21">
        <f t="shared" ref="BE75:BE80" si="73">G75*H75</f>
        <v>0</v>
      </c>
      <c r="BF75" s="21" t="s">
        <v>2492</v>
      </c>
      <c r="BG75" s="41">
        <v>61</v>
      </c>
    </row>
    <row r="76" spans="1:59" x14ac:dyDescent="0.3">
      <c r="A76" s="4" t="s">
        <v>67</v>
      </c>
      <c r="B76" s="13"/>
      <c r="C76" s="13" t="s">
        <v>1068</v>
      </c>
      <c r="D76" s="101" t="s">
        <v>1693</v>
      </c>
      <c r="E76" s="102"/>
      <c r="F76" s="13" t="s">
        <v>2387</v>
      </c>
      <c r="G76" s="21">
        <v>18.990500000000001</v>
      </c>
      <c r="H76" s="21">
        <v>0</v>
      </c>
      <c r="I76" s="21">
        <f t="shared" si="50"/>
        <v>0</v>
      </c>
      <c r="J76" s="21">
        <f t="shared" si="51"/>
        <v>0</v>
      </c>
      <c r="K76" s="21">
        <f t="shared" si="52"/>
        <v>0</v>
      </c>
      <c r="L76" s="21">
        <v>9.11E-3</v>
      </c>
      <c r="M76" s="21">
        <f t="shared" si="53"/>
        <v>0.173003455</v>
      </c>
      <c r="N76" s="35" t="s">
        <v>2417</v>
      </c>
      <c r="O76" s="39"/>
      <c r="U76" s="41">
        <f t="shared" si="54"/>
        <v>0</v>
      </c>
      <c r="W76" s="41">
        <f t="shared" si="55"/>
        <v>0</v>
      </c>
      <c r="X76" s="41">
        <f t="shared" si="56"/>
        <v>0</v>
      </c>
      <c r="Y76" s="41">
        <f t="shared" si="57"/>
        <v>0</v>
      </c>
      <c r="Z76" s="41">
        <f t="shared" si="58"/>
        <v>0</v>
      </c>
      <c r="AA76" s="41">
        <f t="shared" si="59"/>
        <v>0</v>
      </c>
      <c r="AB76" s="41">
        <f t="shared" si="60"/>
        <v>0</v>
      </c>
      <c r="AC76" s="41">
        <f t="shared" si="61"/>
        <v>0</v>
      </c>
      <c r="AD76" s="31"/>
      <c r="AE76" s="21">
        <f t="shared" si="62"/>
        <v>0</v>
      </c>
      <c r="AF76" s="21">
        <f t="shared" si="63"/>
        <v>0</v>
      </c>
      <c r="AG76" s="21">
        <f t="shared" si="64"/>
        <v>0</v>
      </c>
      <c r="AI76" s="41">
        <v>21</v>
      </c>
      <c r="AJ76" s="41">
        <f>H76*0.580396162460389</f>
        <v>0</v>
      </c>
      <c r="AK76" s="41">
        <f>H76*(1-0.580396162460389)</f>
        <v>0</v>
      </c>
      <c r="AL76" s="42" t="s">
        <v>7</v>
      </c>
      <c r="AQ76" s="41">
        <f t="shared" si="65"/>
        <v>0</v>
      </c>
      <c r="AR76" s="41">
        <f t="shared" si="66"/>
        <v>0</v>
      </c>
      <c r="AS76" s="41">
        <f t="shared" si="67"/>
        <v>0</v>
      </c>
      <c r="AT76" s="44" t="s">
        <v>2431</v>
      </c>
      <c r="AU76" s="44" t="s">
        <v>2478</v>
      </c>
      <c r="AV76" s="31" t="s">
        <v>2486</v>
      </c>
      <c r="AX76" s="41">
        <f t="shared" si="68"/>
        <v>0</v>
      </c>
      <c r="AY76" s="41">
        <f t="shared" si="69"/>
        <v>0</v>
      </c>
      <c r="AZ76" s="41">
        <v>0</v>
      </c>
      <c r="BA76" s="41">
        <f t="shared" si="70"/>
        <v>0.173003455</v>
      </c>
      <c r="BC76" s="21">
        <f t="shared" si="71"/>
        <v>0</v>
      </c>
      <c r="BD76" s="21">
        <f t="shared" si="72"/>
        <v>0</v>
      </c>
      <c r="BE76" s="21">
        <f t="shared" si="73"/>
        <v>0</v>
      </c>
      <c r="BF76" s="21" t="s">
        <v>2492</v>
      </c>
      <c r="BG76" s="41">
        <v>61</v>
      </c>
    </row>
    <row r="77" spans="1:59" x14ac:dyDescent="0.3">
      <c r="A77" s="4" t="s">
        <v>68</v>
      </c>
      <c r="B77" s="13"/>
      <c r="C77" s="13" t="s">
        <v>1069</v>
      </c>
      <c r="D77" s="101" t="s">
        <v>1694</v>
      </c>
      <c r="E77" s="102"/>
      <c r="F77" s="13" t="s">
        <v>2387</v>
      </c>
      <c r="G77" s="21">
        <v>17.1905</v>
      </c>
      <c r="H77" s="21">
        <v>0</v>
      </c>
      <c r="I77" s="21">
        <f t="shared" si="50"/>
        <v>0</v>
      </c>
      <c r="J77" s="21">
        <f t="shared" si="51"/>
        <v>0</v>
      </c>
      <c r="K77" s="21">
        <f t="shared" si="52"/>
        <v>0</v>
      </c>
      <c r="L77" s="21">
        <v>3.6700000000000001E-3</v>
      </c>
      <c r="M77" s="21">
        <f t="shared" si="53"/>
        <v>6.3089135000000005E-2</v>
      </c>
      <c r="N77" s="35" t="s">
        <v>2417</v>
      </c>
      <c r="O77" s="39"/>
      <c r="U77" s="41">
        <f t="shared" si="54"/>
        <v>0</v>
      </c>
      <c r="W77" s="41">
        <f t="shared" si="55"/>
        <v>0</v>
      </c>
      <c r="X77" s="41">
        <f t="shared" si="56"/>
        <v>0</v>
      </c>
      <c r="Y77" s="41">
        <f t="shared" si="57"/>
        <v>0</v>
      </c>
      <c r="Z77" s="41">
        <f t="shared" si="58"/>
        <v>0</v>
      </c>
      <c r="AA77" s="41">
        <f t="shared" si="59"/>
        <v>0</v>
      </c>
      <c r="AB77" s="41">
        <f t="shared" si="60"/>
        <v>0</v>
      </c>
      <c r="AC77" s="41">
        <f t="shared" si="61"/>
        <v>0</v>
      </c>
      <c r="AD77" s="31"/>
      <c r="AE77" s="21">
        <f t="shared" si="62"/>
        <v>0</v>
      </c>
      <c r="AF77" s="21">
        <f t="shared" si="63"/>
        <v>0</v>
      </c>
      <c r="AG77" s="21">
        <f t="shared" si="64"/>
        <v>0</v>
      </c>
      <c r="AI77" s="41">
        <v>21</v>
      </c>
      <c r="AJ77" s="41">
        <f>H77*0.361549618224721</f>
        <v>0</v>
      </c>
      <c r="AK77" s="41">
        <f>H77*(1-0.361549618224721)</f>
        <v>0</v>
      </c>
      <c r="AL77" s="42" t="s">
        <v>7</v>
      </c>
      <c r="AQ77" s="41">
        <f t="shared" si="65"/>
        <v>0</v>
      </c>
      <c r="AR77" s="41">
        <f t="shared" si="66"/>
        <v>0</v>
      </c>
      <c r="AS77" s="41">
        <f t="shared" si="67"/>
        <v>0</v>
      </c>
      <c r="AT77" s="44" t="s">
        <v>2431</v>
      </c>
      <c r="AU77" s="44" t="s">
        <v>2478</v>
      </c>
      <c r="AV77" s="31" t="s">
        <v>2486</v>
      </c>
      <c r="AX77" s="41">
        <f t="shared" si="68"/>
        <v>0</v>
      </c>
      <c r="AY77" s="41">
        <f t="shared" si="69"/>
        <v>0</v>
      </c>
      <c r="AZ77" s="41">
        <v>0</v>
      </c>
      <c r="BA77" s="41">
        <f t="shared" si="70"/>
        <v>6.3089135000000005E-2</v>
      </c>
      <c r="BC77" s="21">
        <f t="shared" si="71"/>
        <v>0</v>
      </c>
      <c r="BD77" s="21">
        <f t="shared" si="72"/>
        <v>0</v>
      </c>
      <c r="BE77" s="21">
        <f t="shared" si="73"/>
        <v>0</v>
      </c>
      <c r="BF77" s="21" t="s">
        <v>2492</v>
      </c>
      <c r="BG77" s="41">
        <v>61</v>
      </c>
    </row>
    <row r="78" spans="1:59" x14ac:dyDescent="0.3">
      <c r="A78" s="4" t="s">
        <v>69</v>
      </c>
      <c r="B78" s="13"/>
      <c r="C78" s="13" t="s">
        <v>1070</v>
      </c>
      <c r="D78" s="101" t="s">
        <v>1695</v>
      </c>
      <c r="E78" s="102"/>
      <c r="F78" s="13" t="s">
        <v>2386</v>
      </c>
      <c r="G78" s="21">
        <v>1</v>
      </c>
      <c r="H78" s="21">
        <v>0</v>
      </c>
      <c r="I78" s="21">
        <f t="shared" si="50"/>
        <v>0</v>
      </c>
      <c r="J78" s="21">
        <f t="shared" si="51"/>
        <v>0</v>
      </c>
      <c r="K78" s="21">
        <f t="shared" si="52"/>
        <v>0</v>
      </c>
      <c r="L78" s="21">
        <v>0</v>
      </c>
      <c r="M78" s="21">
        <f t="shared" si="53"/>
        <v>0</v>
      </c>
      <c r="N78" s="35"/>
      <c r="O78" s="39"/>
      <c r="U78" s="41">
        <f t="shared" si="54"/>
        <v>0</v>
      </c>
      <c r="W78" s="41">
        <f t="shared" si="55"/>
        <v>0</v>
      </c>
      <c r="X78" s="41">
        <f t="shared" si="56"/>
        <v>0</v>
      </c>
      <c r="Y78" s="41">
        <f t="shared" si="57"/>
        <v>0</v>
      </c>
      <c r="Z78" s="41">
        <f t="shared" si="58"/>
        <v>0</v>
      </c>
      <c r="AA78" s="41">
        <f t="shared" si="59"/>
        <v>0</v>
      </c>
      <c r="AB78" s="41">
        <f t="shared" si="60"/>
        <v>0</v>
      </c>
      <c r="AC78" s="41">
        <f t="shared" si="61"/>
        <v>0</v>
      </c>
      <c r="AD78" s="31"/>
      <c r="AE78" s="21">
        <f t="shared" si="62"/>
        <v>0</v>
      </c>
      <c r="AF78" s="21">
        <f t="shared" si="63"/>
        <v>0</v>
      </c>
      <c r="AG78" s="21">
        <f t="shared" si="64"/>
        <v>0</v>
      </c>
      <c r="AI78" s="41">
        <v>21</v>
      </c>
      <c r="AJ78" s="41">
        <f>H78*0.248138957816377</f>
        <v>0</v>
      </c>
      <c r="AK78" s="41">
        <f>H78*(1-0.248138957816377)</f>
        <v>0</v>
      </c>
      <c r="AL78" s="42" t="s">
        <v>7</v>
      </c>
      <c r="AQ78" s="41">
        <f t="shared" si="65"/>
        <v>0</v>
      </c>
      <c r="AR78" s="41">
        <f t="shared" si="66"/>
        <v>0</v>
      </c>
      <c r="AS78" s="41">
        <f t="shared" si="67"/>
        <v>0</v>
      </c>
      <c r="AT78" s="44" t="s">
        <v>2431</v>
      </c>
      <c r="AU78" s="44" t="s">
        <v>2478</v>
      </c>
      <c r="AV78" s="31" t="s">
        <v>2486</v>
      </c>
      <c r="AX78" s="41">
        <f t="shared" si="68"/>
        <v>0</v>
      </c>
      <c r="AY78" s="41">
        <f t="shared" si="69"/>
        <v>0</v>
      </c>
      <c r="AZ78" s="41">
        <v>0</v>
      </c>
      <c r="BA78" s="41">
        <f t="shared" si="70"/>
        <v>0</v>
      </c>
      <c r="BC78" s="21">
        <f t="shared" si="71"/>
        <v>0</v>
      </c>
      <c r="BD78" s="21">
        <f t="shared" si="72"/>
        <v>0</v>
      </c>
      <c r="BE78" s="21">
        <f t="shared" si="73"/>
        <v>0</v>
      </c>
      <c r="BF78" s="21" t="s">
        <v>2492</v>
      </c>
      <c r="BG78" s="41">
        <v>61</v>
      </c>
    </row>
    <row r="79" spans="1:59" x14ac:dyDescent="0.3">
      <c r="A79" s="4" t="s">
        <v>70</v>
      </c>
      <c r="B79" s="13"/>
      <c r="C79" s="13" t="s">
        <v>1071</v>
      </c>
      <c r="D79" s="101" t="s">
        <v>1696</v>
      </c>
      <c r="E79" s="102"/>
      <c r="F79" s="13" t="s">
        <v>2390</v>
      </c>
      <c r="G79" s="21">
        <v>1</v>
      </c>
      <c r="H79" s="21">
        <v>0</v>
      </c>
      <c r="I79" s="21">
        <f t="shared" si="50"/>
        <v>0</v>
      </c>
      <c r="J79" s="21">
        <f t="shared" si="51"/>
        <v>0</v>
      </c>
      <c r="K79" s="21">
        <f t="shared" si="52"/>
        <v>0</v>
      </c>
      <c r="L79" s="21">
        <v>0</v>
      </c>
      <c r="M79" s="21">
        <f t="shared" si="53"/>
        <v>0</v>
      </c>
      <c r="N79" s="35"/>
      <c r="O79" s="39"/>
      <c r="U79" s="41">
        <f t="shared" si="54"/>
        <v>0</v>
      </c>
      <c r="W79" s="41">
        <f t="shared" si="55"/>
        <v>0</v>
      </c>
      <c r="X79" s="41">
        <f t="shared" si="56"/>
        <v>0</v>
      </c>
      <c r="Y79" s="41">
        <f t="shared" si="57"/>
        <v>0</v>
      </c>
      <c r="Z79" s="41">
        <f t="shared" si="58"/>
        <v>0</v>
      </c>
      <c r="AA79" s="41">
        <f t="shared" si="59"/>
        <v>0</v>
      </c>
      <c r="AB79" s="41">
        <f t="shared" si="60"/>
        <v>0</v>
      </c>
      <c r="AC79" s="41">
        <f t="shared" si="61"/>
        <v>0</v>
      </c>
      <c r="AD79" s="31"/>
      <c r="AE79" s="21">
        <f t="shared" si="62"/>
        <v>0</v>
      </c>
      <c r="AF79" s="21">
        <f t="shared" si="63"/>
        <v>0</v>
      </c>
      <c r="AG79" s="21">
        <f t="shared" si="64"/>
        <v>0</v>
      </c>
      <c r="AI79" s="41">
        <v>21</v>
      </c>
      <c r="AJ79" s="41">
        <f>H79*0</f>
        <v>0</v>
      </c>
      <c r="AK79" s="41">
        <f>H79*(1-0)</f>
        <v>0</v>
      </c>
      <c r="AL79" s="42" t="s">
        <v>7</v>
      </c>
      <c r="AQ79" s="41">
        <f t="shared" si="65"/>
        <v>0</v>
      </c>
      <c r="AR79" s="41">
        <f t="shared" si="66"/>
        <v>0</v>
      </c>
      <c r="AS79" s="41">
        <f t="shared" si="67"/>
        <v>0</v>
      </c>
      <c r="AT79" s="44" t="s">
        <v>2431</v>
      </c>
      <c r="AU79" s="44" t="s">
        <v>2478</v>
      </c>
      <c r="AV79" s="31" t="s">
        <v>2486</v>
      </c>
      <c r="AX79" s="41">
        <f t="shared" si="68"/>
        <v>0</v>
      </c>
      <c r="AY79" s="41">
        <f t="shared" si="69"/>
        <v>0</v>
      </c>
      <c r="AZ79" s="41">
        <v>0</v>
      </c>
      <c r="BA79" s="41">
        <f t="shared" si="70"/>
        <v>0</v>
      </c>
      <c r="BC79" s="21">
        <f t="shared" si="71"/>
        <v>0</v>
      </c>
      <c r="BD79" s="21">
        <f t="shared" si="72"/>
        <v>0</v>
      </c>
      <c r="BE79" s="21">
        <f t="shared" si="73"/>
        <v>0</v>
      </c>
      <c r="BF79" s="21" t="s">
        <v>2492</v>
      </c>
      <c r="BG79" s="41">
        <v>61</v>
      </c>
    </row>
    <row r="80" spans="1:59" x14ac:dyDescent="0.3">
      <c r="A80" s="4" t="s">
        <v>71</v>
      </c>
      <c r="B80" s="13"/>
      <c r="C80" s="13" t="s">
        <v>1072</v>
      </c>
      <c r="D80" s="101" t="s">
        <v>1697</v>
      </c>
      <c r="E80" s="102"/>
      <c r="F80" s="13" t="s">
        <v>2387</v>
      </c>
      <c r="G80" s="21">
        <v>46.37</v>
      </c>
      <c r="H80" s="21">
        <v>0</v>
      </c>
      <c r="I80" s="21">
        <f t="shared" si="50"/>
        <v>0</v>
      </c>
      <c r="J80" s="21">
        <f t="shared" si="51"/>
        <v>0</v>
      </c>
      <c r="K80" s="21">
        <f t="shared" si="52"/>
        <v>0</v>
      </c>
      <c r="L80" s="21">
        <v>9.11E-3</v>
      </c>
      <c r="M80" s="21">
        <f t="shared" si="53"/>
        <v>0.42243069999999999</v>
      </c>
      <c r="N80" s="35" t="s">
        <v>2417</v>
      </c>
      <c r="O80" s="39"/>
      <c r="U80" s="41">
        <f t="shared" si="54"/>
        <v>0</v>
      </c>
      <c r="W80" s="41">
        <f t="shared" si="55"/>
        <v>0</v>
      </c>
      <c r="X80" s="41">
        <f t="shared" si="56"/>
        <v>0</v>
      </c>
      <c r="Y80" s="41">
        <f t="shared" si="57"/>
        <v>0</v>
      </c>
      <c r="Z80" s="41">
        <f t="shared" si="58"/>
        <v>0</v>
      </c>
      <c r="AA80" s="41">
        <f t="shared" si="59"/>
        <v>0</v>
      </c>
      <c r="AB80" s="41">
        <f t="shared" si="60"/>
        <v>0</v>
      </c>
      <c r="AC80" s="41">
        <f t="shared" si="61"/>
        <v>0</v>
      </c>
      <c r="AD80" s="31"/>
      <c r="AE80" s="21">
        <f t="shared" si="62"/>
        <v>0</v>
      </c>
      <c r="AF80" s="21">
        <f t="shared" si="63"/>
        <v>0</v>
      </c>
      <c r="AG80" s="21">
        <f t="shared" si="64"/>
        <v>0</v>
      </c>
      <c r="AI80" s="41">
        <v>21</v>
      </c>
      <c r="AJ80" s="41">
        <f>H80*0.597014925373134</f>
        <v>0</v>
      </c>
      <c r="AK80" s="41">
        <f>H80*(1-0.597014925373134)</f>
        <v>0</v>
      </c>
      <c r="AL80" s="42" t="s">
        <v>7</v>
      </c>
      <c r="AQ80" s="41">
        <f t="shared" si="65"/>
        <v>0</v>
      </c>
      <c r="AR80" s="41">
        <f t="shared" si="66"/>
        <v>0</v>
      </c>
      <c r="AS80" s="41">
        <f t="shared" si="67"/>
        <v>0</v>
      </c>
      <c r="AT80" s="44" t="s">
        <v>2431</v>
      </c>
      <c r="AU80" s="44" t="s">
        <v>2478</v>
      </c>
      <c r="AV80" s="31" t="s">
        <v>2486</v>
      </c>
      <c r="AX80" s="41">
        <f t="shared" si="68"/>
        <v>0</v>
      </c>
      <c r="AY80" s="41">
        <f t="shared" si="69"/>
        <v>0</v>
      </c>
      <c r="AZ80" s="41">
        <v>0</v>
      </c>
      <c r="BA80" s="41">
        <f t="shared" si="70"/>
        <v>0.42243069999999999</v>
      </c>
      <c r="BC80" s="21">
        <f t="shared" si="71"/>
        <v>0</v>
      </c>
      <c r="BD80" s="21">
        <f t="shared" si="72"/>
        <v>0</v>
      </c>
      <c r="BE80" s="21">
        <f t="shared" si="73"/>
        <v>0</v>
      </c>
      <c r="BF80" s="21" t="s">
        <v>2492</v>
      </c>
      <c r="BG80" s="41">
        <v>61</v>
      </c>
    </row>
    <row r="81" spans="1:59" x14ac:dyDescent="0.3">
      <c r="A81" s="5"/>
      <c r="B81" s="14"/>
      <c r="C81" s="14" t="s">
        <v>715</v>
      </c>
      <c r="D81" s="103" t="s">
        <v>1698</v>
      </c>
      <c r="E81" s="104"/>
      <c r="F81" s="19" t="s">
        <v>6</v>
      </c>
      <c r="G81" s="19" t="s">
        <v>6</v>
      </c>
      <c r="H81" s="19" t="s">
        <v>6</v>
      </c>
      <c r="I81" s="47">
        <f>SUM(I82:I82)</f>
        <v>0</v>
      </c>
      <c r="J81" s="47">
        <f>SUM(J82:J82)</f>
        <v>0</v>
      </c>
      <c r="K81" s="47">
        <f>SUM(K82:K82)</f>
        <v>0</v>
      </c>
      <c r="L81" s="31"/>
      <c r="M81" s="47">
        <f>SUM(M82:M82)</f>
        <v>0</v>
      </c>
      <c r="N81" s="36"/>
      <c r="O81" s="39"/>
      <c r="AD81" s="31"/>
      <c r="AN81" s="47">
        <f>SUM(AE82:AE82)</f>
        <v>0</v>
      </c>
      <c r="AO81" s="47">
        <f>SUM(AF82:AF82)</f>
        <v>0</v>
      </c>
      <c r="AP81" s="47">
        <f>SUM(AG82:AG82)</f>
        <v>0</v>
      </c>
    </row>
    <row r="82" spans="1:59" x14ac:dyDescent="0.3">
      <c r="A82" s="4" t="s">
        <v>72</v>
      </c>
      <c r="B82" s="13"/>
      <c r="C82" s="13" t="s">
        <v>1073</v>
      </c>
      <c r="D82" s="101" t="s">
        <v>1699</v>
      </c>
      <c r="E82" s="102"/>
      <c r="F82" s="13" t="s">
        <v>2386</v>
      </c>
      <c r="G82" s="21">
        <v>1</v>
      </c>
      <c r="H82" s="21">
        <v>0</v>
      </c>
      <c r="I82" s="21">
        <f>G82*AJ82</f>
        <v>0</v>
      </c>
      <c r="J82" s="21">
        <f>G82*AK82</f>
        <v>0</v>
      </c>
      <c r="K82" s="21">
        <f>G82*H82</f>
        <v>0</v>
      </c>
      <c r="L82" s="21">
        <v>0</v>
      </c>
      <c r="M82" s="21">
        <f>G82*L82</f>
        <v>0</v>
      </c>
      <c r="N82" s="35"/>
      <c r="O82" s="39"/>
      <c r="U82" s="41">
        <f>IF(AL82="5",BE82,0)</f>
        <v>0</v>
      </c>
      <c r="W82" s="41">
        <f>IF(AL82="1",BC82,0)</f>
        <v>0</v>
      </c>
      <c r="X82" s="41">
        <f>IF(AL82="1",BD82,0)</f>
        <v>0</v>
      </c>
      <c r="Y82" s="41">
        <f>IF(AL82="7",BC82,0)</f>
        <v>0</v>
      </c>
      <c r="Z82" s="41">
        <f>IF(AL82="7",BD82,0)</f>
        <v>0</v>
      </c>
      <c r="AA82" s="41">
        <f>IF(AL82="2",BC82,0)</f>
        <v>0</v>
      </c>
      <c r="AB82" s="41">
        <f>IF(AL82="2",BD82,0)</f>
        <v>0</v>
      </c>
      <c r="AC82" s="41">
        <f>IF(AL82="0",BE82,0)</f>
        <v>0</v>
      </c>
      <c r="AD82" s="31"/>
      <c r="AE82" s="21">
        <f>IF(AI82=0,K82,0)</f>
        <v>0</v>
      </c>
      <c r="AF82" s="21">
        <f>IF(AI82=15,K82,0)</f>
        <v>0</v>
      </c>
      <c r="AG82" s="21">
        <f>IF(AI82=21,K82,0)</f>
        <v>0</v>
      </c>
      <c r="AI82" s="41">
        <v>21</v>
      </c>
      <c r="AJ82" s="41">
        <f>H82*0</f>
        <v>0</v>
      </c>
      <c r="AK82" s="41">
        <f>H82*(1-0)</f>
        <v>0</v>
      </c>
      <c r="AL82" s="42" t="s">
        <v>13</v>
      </c>
      <c r="AQ82" s="41">
        <f>AR82+AS82</f>
        <v>0</v>
      </c>
      <c r="AR82" s="41">
        <f>G82*AJ82</f>
        <v>0</v>
      </c>
      <c r="AS82" s="41">
        <f>G82*AK82</f>
        <v>0</v>
      </c>
      <c r="AT82" s="44" t="s">
        <v>2432</v>
      </c>
      <c r="AU82" s="44" t="s">
        <v>2479</v>
      </c>
      <c r="AV82" s="31" t="s">
        <v>2486</v>
      </c>
      <c r="AX82" s="41">
        <f>AR82+AS82</f>
        <v>0</v>
      </c>
      <c r="AY82" s="41">
        <f>H82/(100-AZ82)*100</f>
        <v>0</v>
      </c>
      <c r="AZ82" s="41">
        <v>0</v>
      </c>
      <c r="BA82" s="41">
        <f>M82</f>
        <v>0</v>
      </c>
      <c r="BC82" s="21">
        <f>G82*AJ82</f>
        <v>0</v>
      </c>
      <c r="BD82" s="21">
        <f>G82*AK82</f>
        <v>0</v>
      </c>
      <c r="BE82" s="21">
        <f>G82*H82</f>
        <v>0</v>
      </c>
      <c r="BF82" s="21" t="s">
        <v>2492</v>
      </c>
      <c r="BG82" s="41">
        <v>713</v>
      </c>
    </row>
    <row r="83" spans="1:59" x14ac:dyDescent="0.3">
      <c r="A83" s="5"/>
      <c r="B83" s="14"/>
      <c r="C83" s="14" t="s">
        <v>716</v>
      </c>
      <c r="D83" s="103" t="s">
        <v>1700</v>
      </c>
      <c r="E83" s="104"/>
      <c r="F83" s="19" t="s">
        <v>6</v>
      </c>
      <c r="G83" s="19" t="s">
        <v>6</v>
      </c>
      <c r="H83" s="19" t="s">
        <v>6</v>
      </c>
      <c r="I83" s="47">
        <f>SUM(I84:I97)</f>
        <v>0</v>
      </c>
      <c r="J83" s="47">
        <f>SUM(J84:J97)</f>
        <v>0</v>
      </c>
      <c r="K83" s="47">
        <f>SUM(K84:K97)</f>
        <v>0</v>
      </c>
      <c r="L83" s="31"/>
      <c r="M83" s="47">
        <f>SUM(M84:M97)</f>
        <v>13.801224699999999</v>
      </c>
      <c r="N83" s="36"/>
      <c r="O83" s="39"/>
      <c r="AD83" s="31"/>
      <c r="AN83" s="47">
        <f>SUM(AE84:AE97)</f>
        <v>0</v>
      </c>
      <c r="AO83" s="47">
        <f>SUM(AF84:AF97)</f>
        <v>0</v>
      </c>
      <c r="AP83" s="47">
        <f>SUM(AG84:AG97)</f>
        <v>0</v>
      </c>
    </row>
    <row r="84" spans="1:59" x14ac:dyDescent="0.3">
      <c r="A84" s="4" t="s">
        <v>73</v>
      </c>
      <c r="B84" s="13"/>
      <c r="C84" s="13" t="s">
        <v>1074</v>
      </c>
      <c r="D84" s="101" t="s">
        <v>1701</v>
      </c>
      <c r="E84" s="102"/>
      <c r="F84" s="13" t="s">
        <v>2387</v>
      </c>
      <c r="G84" s="21">
        <v>189.2</v>
      </c>
      <c r="H84" s="21">
        <v>0</v>
      </c>
      <c r="I84" s="21">
        <f t="shared" ref="I84:I97" si="74">G84*AJ84</f>
        <v>0</v>
      </c>
      <c r="J84" s="21">
        <f t="shared" ref="J84:J97" si="75">G84*AK84</f>
        <v>0</v>
      </c>
      <c r="K84" s="21">
        <f t="shared" ref="K84:K97" si="76">G84*H84</f>
        <v>0</v>
      </c>
      <c r="L84" s="21">
        <v>8.4000000000000003E-4</v>
      </c>
      <c r="M84" s="21">
        <f t="shared" ref="M84:M97" si="77">G84*L84</f>
        <v>0.15892799999999999</v>
      </c>
      <c r="N84" s="35" t="s">
        <v>2417</v>
      </c>
      <c r="O84" s="39"/>
      <c r="U84" s="41">
        <f t="shared" ref="U84:U97" si="78">IF(AL84="5",BE84,0)</f>
        <v>0</v>
      </c>
      <c r="W84" s="41">
        <f t="shared" ref="W84:W97" si="79">IF(AL84="1",BC84,0)</f>
        <v>0</v>
      </c>
      <c r="X84" s="41">
        <f t="shared" ref="X84:X97" si="80">IF(AL84="1",BD84,0)</f>
        <v>0</v>
      </c>
      <c r="Y84" s="41">
        <f t="shared" ref="Y84:Y97" si="81">IF(AL84="7",BC84,0)</f>
        <v>0</v>
      </c>
      <c r="Z84" s="41">
        <f t="shared" ref="Z84:Z97" si="82">IF(AL84="7",BD84,0)</f>
        <v>0</v>
      </c>
      <c r="AA84" s="41">
        <f t="shared" ref="AA84:AA97" si="83">IF(AL84="2",BC84,0)</f>
        <v>0</v>
      </c>
      <c r="AB84" s="41">
        <f t="shared" ref="AB84:AB97" si="84">IF(AL84="2",BD84,0)</f>
        <v>0</v>
      </c>
      <c r="AC84" s="41">
        <f t="shared" ref="AC84:AC97" si="85">IF(AL84="0",BE84,0)</f>
        <v>0</v>
      </c>
      <c r="AD84" s="31"/>
      <c r="AE84" s="21">
        <f t="shared" ref="AE84:AE97" si="86">IF(AI84=0,K84,0)</f>
        <v>0</v>
      </c>
      <c r="AF84" s="21">
        <f t="shared" ref="AF84:AF97" si="87">IF(AI84=15,K84,0)</f>
        <v>0</v>
      </c>
      <c r="AG84" s="21">
        <f t="shared" ref="AG84:AG97" si="88">IF(AI84=21,K84,0)</f>
        <v>0</v>
      </c>
      <c r="AI84" s="41">
        <v>21</v>
      </c>
      <c r="AJ84" s="41">
        <f>H84*0.57262836419164</f>
        <v>0</v>
      </c>
      <c r="AK84" s="41">
        <f>H84*(1-0.57262836419164)</f>
        <v>0</v>
      </c>
      <c r="AL84" s="42" t="s">
        <v>13</v>
      </c>
      <c r="AQ84" s="41">
        <f t="shared" ref="AQ84:AQ97" si="89">AR84+AS84</f>
        <v>0</v>
      </c>
      <c r="AR84" s="41">
        <f t="shared" ref="AR84:AR97" si="90">G84*AJ84</f>
        <v>0</v>
      </c>
      <c r="AS84" s="41">
        <f t="shared" ref="AS84:AS97" si="91">G84*AK84</f>
        <v>0</v>
      </c>
      <c r="AT84" s="44" t="s">
        <v>2433</v>
      </c>
      <c r="AU84" s="44" t="s">
        <v>2479</v>
      </c>
      <c r="AV84" s="31" t="s">
        <v>2486</v>
      </c>
      <c r="AX84" s="41">
        <f t="shared" ref="AX84:AX97" si="92">AR84+AS84</f>
        <v>0</v>
      </c>
      <c r="AY84" s="41">
        <f t="shared" ref="AY84:AY97" si="93">H84/(100-AZ84)*100</f>
        <v>0</v>
      </c>
      <c r="AZ84" s="41">
        <v>0</v>
      </c>
      <c r="BA84" s="41">
        <f t="shared" ref="BA84:BA97" si="94">M84</f>
        <v>0.15892799999999999</v>
      </c>
      <c r="BC84" s="21">
        <f t="shared" ref="BC84:BC97" si="95">G84*AJ84</f>
        <v>0</v>
      </c>
      <c r="BD84" s="21">
        <f t="shared" ref="BD84:BD97" si="96">G84*AK84</f>
        <v>0</v>
      </c>
      <c r="BE84" s="21">
        <f t="shared" ref="BE84:BE97" si="97">G84*H84</f>
        <v>0</v>
      </c>
      <c r="BF84" s="21" t="s">
        <v>2492</v>
      </c>
      <c r="BG84" s="41">
        <v>714</v>
      </c>
    </row>
    <row r="85" spans="1:59" x14ac:dyDescent="0.3">
      <c r="A85" s="4" t="s">
        <v>74</v>
      </c>
      <c r="B85" s="13"/>
      <c r="C85" s="13" t="s">
        <v>1075</v>
      </c>
      <c r="D85" s="101" t="s">
        <v>1702</v>
      </c>
      <c r="E85" s="102"/>
      <c r="F85" s="13" t="s">
        <v>2387</v>
      </c>
      <c r="G85" s="21">
        <v>82.3</v>
      </c>
      <c r="H85" s="21">
        <v>0</v>
      </c>
      <c r="I85" s="21">
        <f t="shared" si="74"/>
        <v>0</v>
      </c>
      <c r="J85" s="21">
        <f t="shared" si="75"/>
        <v>0</v>
      </c>
      <c r="K85" s="21">
        <f t="shared" si="76"/>
        <v>0</v>
      </c>
      <c r="L85" s="21">
        <v>8.4000000000000003E-4</v>
      </c>
      <c r="M85" s="21">
        <f t="shared" si="77"/>
        <v>6.9131999999999999E-2</v>
      </c>
      <c r="N85" s="35" t="s">
        <v>2417</v>
      </c>
      <c r="O85" s="39"/>
      <c r="U85" s="41">
        <f t="shared" si="78"/>
        <v>0</v>
      </c>
      <c r="W85" s="41">
        <f t="shared" si="79"/>
        <v>0</v>
      </c>
      <c r="X85" s="41">
        <f t="shared" si="80"/>
        <v>0</v>
      </c>
      <c r="Y85" s="41">
        <f t="shared" si="81"/>
        <v>0</v>
      </c>
      <c r="Z85" s="41">
        <f t="shared" si="82"/>
        <v>0</v>
      </c>
      <c r="AA85" s="41">
        <f t="shared" si="83"/>
        <v>0</v>
      </c>
      <c r="AB85" s="41">
        <f t="shared" si="84"/>
        <v>0</v>
      </c>
      <c r="AC85" s="41">
        <f t="shared" si="85"/>
        <v>0</v>
      </c>
      <c r="AD85" s="31"/>
      <c r="AE85" s="21">
        <f t="shared" si="86"/>
        <v>0</v>
      </c>
      <c r="AF85" s="21">
        <f t="shared" si="87"/>
        <v>0</v>
      </c>
      <c r="AG85" s="21">
        <f t="shared" si="88"/>
        <v>0</v>
      </c>
      <c r="AI85" s="41">
        <v>21</v>
      </c>
      <c r="AJ85" s="41">
        <f>H85*0.586402785413231</f>
        <v>0</v>
      </c>
      <c r="AK85" s="41">
        <f>H85*(1-0.586402785413231)</f>
        <v>0</v>
      </c>
      <c r="AL85" s="42" t="s">
        <v>13</v>
      </c>
      <c r="AQ85" s="41">
        <f t="shared" si="89"/>
        <v>0</v>
      </c>
      <c r="AR85" s="41">
        <f t="shared" si="90"/>
        <v>0</v>
      </c>
      <c r="AS85" s="41">
        <f t="shared" si="91"/>
        <v>0</v>
      </c>
      <c r="AT85" s="44" t="s">
        <v>2433</v>
      </c>
      <c r="AU85" s="44" t="s">
        <v>2479</v>
      </c>
      <c r="AV85" s="31" t="s">
        <v>2486</v>
      </c>
      <c r="AX85" s="41">
        <f t="shared" si="92"/>
        <v>0</v>
      </c>
      <c r="AY85" s="41">
        <f t="shared" si="93"/>
        <v>0</v>
      </c>
      <c r="AZ85" s="41">
        <v>0</v>
      </c>
      <c r="BA85" s="41">
        <f t="shared" si="94"/>
        <v>6.9131999999999999E-2</v>
      </c>
      <c r="BC85" s="21">
        <f t="shared" si="95"/>
        <v>0</v>
      </c>
      <c r="BD85" s="21">
        <f t="shared" si="96"/>
        <v>0</v>
      </c>
      <c r="BE85" s="21">
        <f t="shared" si="97"/>
        <v>0</v>
      </c>
      <c r="BF85" s="21" t="s">
        <v>2492</v>
      </c>
      <c r="BG85" s="41">
        <v>714</v>
      </c>
    </row>
    <row r="86" spans="1:59" x14ac:dyDescent="0.3">
      <c r="A86" s="4" t="s">
        <v>75</v>
      </c>
      <c r="B86" s="13"/>
      <c r="C86" s="13" t="s">
        <v>1076</v>
      </c>
      <c r="D86" s="101" t="s">
        <v>1703</v>
      </c>
      <c r="E86" s="102"/>
      <c r="F86" s="13" t="s">
        <v>2387</v>
      </c>
      <c r="G86" s="21">
        <v>67.5</v>
      </c>
      <c r="H86" s="21">
        <v>0</v>
      </c>
      <c r="I86" s="21">
        <f t="shared" si="74"/>
        <v>0</v>
      </c>
      <c r="J86" s="21">
        <f t="shared" si="75"/>
        <v>0</v>
      </c>
      <c r="K86" s="21">
        <f t="shared" si="76"/>
        <v>0</v>
      </c>
      <c r="L86" s="21">
        <v>8.4000000000000003E-4</v>
      </c>
      <c r="M86" s="21">
        <f t="shared" si="77"/>
        <v>5.67E-2</v>
      </c>
      <c r="N86" s="35" t="s">
        <v>2417</v>
      </c>
      <c r="O86" s="39"/>
      <c r="U86" s="41">
        <f t="shared" si="78"/>
        <v>0</v>
      </c>
      <c r="W86" s="41">
        <f t="shared" si="79"/>
        <v>0</v>
      </c>
      <c r="X86" s="41">
        <f t="shared" si="80"/>
        <v>0</v>
      </c>
      <c r="Y86" s="41">
        <f t="shared" si="81"/>
        <v>0</v>
      </c>
      <c r="Z86" s="41">
        <f t="shared" si="82"/>
        <v>0</v>
      </c>
      <c r="AA86" s="41">
        <f t="shared" si="83"/>
        <v>0</v>
      </c>
      <c r="AB86" s="41">
        <f t="shared" si="84"/>
        <v>0</v>
      </c>
      <c r="AC86" s="41">
        <f t="shared" si="85"/>
        <v>0</v>
      </c>
      <c r="AD86" s="31"/>
      <c r="AE86" s="21">
        <f t="shared" si="86"/>
        <v>0</v>
      </c>
      <c r="AF86" s="21">
        <f t="shared" si="87"/>
        <v>0</v>
      </c>
      <c r="AG86" s="21">
        <f t="shared" si="88"/>
        <v>0</v>
      </c>
      <c r="AI86" s="41">
        <v>21</v>
      </c>
      <c r="AJ86" s="41">
        <f>H86*0.817307692307692</f>
        <v>0</v>
      </c>
      <c r="AK86" s="41">
        <f>H86*(1-0.817307692307692)</f>
        <v>0</v>
      </c>
      <c r="AL86" s="42" t="s">
        <v>13</v>
      </c>
      <c r="AQ86" s="41">
        <f t="shared" si="89"/>
        <v>0</v>
      </c>
      <c r="AR86" s="41">
        <f t="shared" si="90"/>
        <v>0</v>
      </c>
      <c r="AS86" s="41">
        <f t="shared" si="91"/>
        <v>0</v>
      </c>
      <c r="AT86" s="44" t="s">
        <v>2433</v>
      </c>
      <c r="AU86" s="44" t="s">
        <v>2479</v>
      </c>
      <c r="AV86" s="31" t="s">
        <v>2486</v>
      </c>
      <c r="AX86" s="41">
        <f t="shared" si="92"/>
        <v>0</v>
      </c>
      <c r="AY86" s="41">
        <f t="shared" si="93"/>
        <v>0</v>
      </c>
      <c r="AZ86" s="41">
        <v>0</v>
      </c>
      <c r="BA86" s="41">
        <f t="shared" si="94"/>
        <v>5.67E-2</v>
      </c>
      <c r="BC86" s="21">
        <f t="shared" si="95"/>
        <v>0</v>
      </c>
      <c r="BD86" s="21">
        <f t="shared" si="96"/>
        <v>0</v>
      </c>
      <c r="BE86" s="21">
        <f t="shared" si="97"/>
        <v>0</v>
      </c>
      <c r="BF86" s="21" t="s">
        <v>2492</v>
      </c>
      <c r="BG86" s="41">
        <v>714</v>
      </c>
    </row>
    <row r="87" spans="1:59" x14ac:dyDescent="0.3">
      <c r="A87" s="4" t="s">
        <v>76</v>
      </c>
      <c r="B87" s="13"/>
      <c r="C87" s="13" t="s">
        <v>1077</v>
      </c>
      <c r="D87" s="101" t="s">
        <v>1704</v>
      </c>
      <c r="E87" s="102"/>
      <c r="F87" s="13" t="s">
        <v>2387</v>
      </c>
      <c r="G87" s="21">
        <v>39.4</v>
      </c>
      <c r="H87" s="21">
        <v>0</v>
      </c>
      <c r="I87" s="21">
        <f t="shared" si="74"/>
        <v>0</v>
      </c>
      <c r="J87" s="21">
        <f t="shared" si="75"/>
        <v>0</v>
      </c>
      <c r="K87" s="21">
        <f t="shared" si="76"/>
        <v>0</v>
      </c>
      <c r="L87" s="21">
        <v>3.5000000000000003E-2</v>
      </c>
      <c r="M87" s="21">
        <f t="shared" si="77"/>
        <v>1.379</v>
      </c>
      <c r="N87" s="35" t="s">
        <v>2417</v>
      </c>
      <c r="O87" s="39"/>
      <c r="U87" s="41">
        <f t="shared" si="78"/>
        <v>0</v>
      </c>
      <c r="W87" s="41">
        <f t="shared" si="79"/>
        <v>0</v>
      </c>
      <c r="X87" s="41">
        <f t="shared" si="80"/>
        <v>0</v>
      </c>
      <c r="Y87" s="41">
        <f t="shared" si="81"/>
        <v>0</v>
      </c>
      <c r="Z87" s="41">
        <f t="shared" si="82"/>
        <v>0</v>
      </c>
      <c r="AA87" s="41">
        <f t="shared" si="83"/>
        <v>0</v>
      </c>
      <c r="AB87" s="41">
        <f t="shared" si="84"/>
        <v>0</v>
      </c>
      <c r="AC87" s="41">
        <f t="shared" si="85"/>
        <v>0</v>
      </c>
      <c r="AD87" s="31"/>
      <c r="AE87" s="21">
        <f t="shared" si="86"/>
        <v>0</v>
      </c>
      <c r="AF87" s="21">
        <f t="shared" si="87"/>
        <v>0</v>
      </c>
      <c r="AG87" s="21">
        <f t="shared" si="88"/>
        <v>0</v>
      </c>
      <c r="AI87" s="41">
        <v>21</v>
      </c>
      <c r="AJ87" s="41">
        <f>H87*0.783983140147524</f>
        <v>0</v>
      </c>
      <c r="AK87" s="41">
        <f>H87*(1-0.783983140147524)</f>
        <v>0</v>
      </c>
      <c r="AL87" s="42" t="s">
        <v>13</v>
      </c>
      <c r="AQ87" s="41">
        <f t="shared" si="89"/>
        <v>0</v>
      </c>
      <c r="AR87" s="41">
        <f t="shared" si="90"/>
        <v>0</v>
      </c>
      <c r="AS87" s="41">
        <f t="shared" si="91"/>
        <v>0</v>
      </c>
      <c r="AT87" s="44" t="s">
        <v>2433</v>
      </c>
      <c r="AU87" s="44" t="s">
        <v>2479</v>
      </c>
      <c r="AV87" s="31" t="s">
        <v>2486</v>
      </c>
      <c r="AX87" s="41">
        <f t="shared" si="92"/>
        <v>0</v>
      </c>
      <c r="AY87" s="41">
        <f t="shared" si="93"/>
        <v>0</v>
      </c>
      <c r="AZ87" s="41">
        <v>0</v>
      </c>
      <c r="BA87" s="41">
        <f t="shared" si="94"/>
        <v>1.379</v>
      </c>
      <c r="BC87" s="21">
        <f t="shared" si="95"/>
        <v>0</v>
      </c>
      <c r="BD87" s="21">
        <f t="shared" si="96"/>
        <v>0</v>
      </c>
      <c r="BE87" s="21">
        <f t="shared" si="97"/>
        <v>0</v>
      </c>
      <c r="BF87" s="21" t="s">
        <v>2492</v>
      </c>
      <c r="BG87" s="41">
        <v>714</v>
      </c>
    </row>
    <row r="88" spans="1:59" x14ac:dyDescent="0.3">
      <c r="A88" s="4" t="s">
        <v>77</v>
      </c>
      <c r="B88" s="13"/>
      <c r="C88" s="13" t="s">
        <v>1078</v>
      </c>
      <c r="D88" s="101" t="s">
        <v>1705</v>
      </c>
      <c r="E88" s="102"/>
      <c r="F88" s="13" t="s">
        <v>2387</v>
      </c>
      <c r="G88" s="21">
        <v>45.8</v>
      </c>
      <c r="H88" s="21">
        <v>0</v>
      </c>
      <c r="I88" s="21">
        <f t="shared" si="74"/>
        <v>0</v>
      </c>
      <c r="J88" s="21">
        <f t="shared" si="75"/>
        <v>0</v>
      </c>
      <c r="K88" s="21">
        <f t="shared" si="76"/>
        <v>0</v>
      </c>
      <c r="L88" s="21">
        <v>3.5000000000000003E-2</v>
      </c>
      <c r="M88" s="21">
        <f t="shared" si="77"/>
        <v>1.603</v>
      </c>
      <c r="N88" s="35" t="s">
        <v>2417</v>
      </c>
      <c r="O88" s="39"/>
      <c r="U88" s="41">
        <f t="shared" si="78"/>
        <v>0</v>
      </c>
      <c r="W88" s="41">
        <f t="shared" si="79"/>
        <v>0</v>
      </c>
      <c r="X88" s="41">
        <f t="shared" si="80"/>
        <v>0</v>
      </c>
      <c r="Y88" s="41">
        <f t="shared" si="81"/>
        <v>0</v>
      </c>
      <c r="Z88" s="41">
        <f t="shared" si="82"/>
        <v>0</v>
      </c>
      <c r="AA88" s="41">
        <f t="shared" si="83"/>
        <v>0</v>
      </c>
      <c r="AB88" s="41">
        <f t="shared" si="84"/>
        <v>0</v>
      </c>
      <c r="AC88" s="41">
        <f t="shared" si="85"/>
        <v>0</v>
      </c>
      <c r="AD88" s="31"/>
      <c r="AE88" s="21">
        <f t="shared" si="86"/>
        <v>0</v>
      </c>
      <c r="AF88" s="21">
        <f t="shared" si="87"/>
        <v>0</v>
      </c>
      <c r="AG88" s="21">
        <f t="shared" si="88"/>
        <v>0</v>
      </c>
      <c r="AI88" s="41">
        <v>21</v>
      </c>
      <c r="AJ88" s="41">
        <f>H88*0.715370018975332</f>
        <v>0</v>
      </c>
      <c r="AK88" s="41">
        <f>H88*(1-0.715370018975332)</f>
        <v>0</v>
      </c>
      <c r="AL88" s="42" t="s">
        <v>13</v>
      </c>
      <c r="AQ88" s="41">
        <f t="shared" si="89"/>
        <v>0</v>
      </c>
      <c r="AR88" s="41">
        <f t="shared" si="90"/>
        <v>0</v>
      </c>
      <c r="AS88" s="41">
        <f t="shared" si="91"/>
        <v>0</v>
      </c>
      <c r="AT88" s="44" t="s">
        <v>2433</v>
      </c>
      <c r="AU88" s="44" t="s">
        <v>2479</v>
      </c>
      <c r="AV88" s="31" t="s">
        <v>2486</v>
      </c>
      <c r="AX88" s="41">
        <f t="shared" si="92"/>
        <v>0</v>
      </c>
      <c r="AY88" s="41">
        <f t="shared" si="93"/>
        <v>0</v>
      </c>
      <c r="AZ88" s="41">
        <v>0</v>
      </c>
      <c r="BA88" s="41">
        <f t="shared" si="94"/>
        <v>1.603</v>
      </c>
      <c r="BC88" s="21">
        <f t="shared" si="95"/>
        <v>0</v>
      </c>
      <c r="BD88" s="21">
        <f t="shared" si="96"/>
        <v>0</v>
      </c>
      <c r="BE88" s="21">
        <f t="shared" si="97"/>
        <v>0</v>
      </c>
      <c r="BF88" s="21" t="s">
        <v>2492</v>
      </c>
      <c r="BG88" s="41">
        <v>714</v>
      </c>
    </row>
    <row r="89" spans="1:59" x14ac:dyDescent="0.3">
      <c r="A89" s="4" t="s">
        <v>78</v>
      </c>
      <c r="B89" s="13"/>
      <c r="C89" s="13" t="s">
        <v>1079</v>
      </c>
      <c r="D89" s="101" t="s">
        <v>1706</v>
      </c>
      <c r="E89" s="102"/>
      <c r="F89" s="13" t="s">
        <v>2387</v>
      </c>
      <c r="G89" s="21">
        <v>53.8</v>
      </c>
      <c r="H89" s="21">
        <v>0</v>
      </c>
      <c r="I89" s="21">
        <f t="shared" si="74"/>
        <v>0</v>
      </c>
      <c r="J89" s="21">
        <f t="shared" si="75"/>
        <v>0</v>
      </c>
      <c r="K89" s="21">
        <f t="shared" si="76"/>
        <v>0</v>
      </c>
      <c r="L89" s="21">
        <v>0.04</v>
      </c>
      <c r="M89" s="21">
        <f t="shared" si="77"/>
        <v>2.1520000000000001</v>
      </c>
      <c r="N89" s="35" t="s">
        <v>2417</v>
      </c>
      <c r="O89" s="39"/>
      <c r="U89" s="41">
        <f t="shared" si="78"/>
        <v>0</v>
      </c>
      <c r="W89" s="41">
        <f t="shared" si="79"/>
        <v>0</v>
      </c>
      <c r="X89" s="41">
        <f t="shared" si="80"/>
        <v>0</v>
      </c>
      <c r="Y89" s="41">
        <f t="shared" si="81"/>
        <v>0</v>
      </c>
      <c r="Z89" s="41">
        <f t="shared" si="82"/>
        <v>0</v>
      </c>
      <c r="AA89" s="41">
        <f t="shared" si="83"/>
        <v>0</v>
      </c>
      <c r="AB89" s="41">
        <f t="shared" si="84"/>
        <v>0</v>
      </c>
      <c r="AC89" s="41">
        <f t="shared" si="85"/>
        <v>0</v>
      </c>
      <c r="AD89" s="31"/>
      <c r="AE89" s="21">
        <f t="shared" si="86"/>
        <v>0</v>
      </c>
      <c r="AF89" s="21">
        <f t="shared" si="87"/>
        <v>0</v>
      </c>
      <c r="AG89" s="21">
        <f t="shared" si="88"/>
        <v>0</v>
      </c>
      <c r="AI89" s="41">
        <v>21</v>
      </c>
      <c r="AJ89" s="41">
        <f>H89*0.868035190615836</f>
        <v>0</v>
      </c>
      <c r="AK89" s="41">
        <f>H89*(1-0.868035190615836)</f>
        <v>0</v>
      </c>
      <c r="AL89" s="42" t="s">
        <v>13</v>
      </c>
      <c r="AQ89" s="41">
        <f t="shared" si="89"/>
        <v>0</v>
      </c>
      <c r="AR89" s="41">
        <f t="shared" si="90"/>
        <v>0</v>
      </c>
      <c r="AS89" s="41">
        <f t="shared" si="91"/>
        <v>0</v>
      </c>
      <c r="AT89" s="44" t="s">
        <v>2433</v>
      </c>
      <c r="AU89" s="44" t="s">
        <v>2479</v>
      </c>
      <c r="AV89" s="31" t="s">
        <v>2486</v>
      </c>
      <c r="AX89" s="41">
        <f t="shared" si="92"/>
        <v>0</v>
      </c>
      <c r="AY89" s="41">
        <f t="shared" si="93"/>
        <v>0</v>
      </c>
      <c r="AZ89" s="41">
        <v>0</v>
      </c>
      <c r="BA89" s="41">
        <f t="shared" si="94"/>
        <v>2.1520000000000001</v>
      </c>
      <c r="BC89" s="21">
        <f t="shared" si="95"/>
        <v>0</v>
      </c>
      <c r="BD89" s="21">
        <f t="shared" si="96"/>
        <v>0</v>
      </c>
      <c r="BE89" s="21">
        <f t="shared" si="97"/>
        <v>0</v>
      </c>
      <c r="BF89" s="21" t="s">
        <v>2492</v>
      </c>
      <c r="BG89" s="41">
        <v>714</v>
      </c>
    </row>
    <row r="90" spans="1:59" x14ac:dyDescent="0.3">
      <c r="A90" s="4" t="s">
        <v>79</v>
      </c>
      <c r="B90" s="13"/>
      <c r="C90" s="13" t="s">
        <v>1076</v>
      </c>
      <c r="D90" s="101" t="s">
        <v>1707</v>
      </c>
      <c r="E90" s="102"/>
      <c r="F90" s="13" t="s">
        <v>2387</v>
      </c>
      <c r="G90" s="21">
        <v>86.3</v>
      </c>
      <c r="H90" s="21">
        <v>0</v>
      </c>
      <c r="I90" s="21">
        <f t="shared" si="74"/>
        <v>0</v>
      </c>
      <c r="J90" s="21">
        <f t="shared" si="75"/>
        <v>0</v>
      </c>
      <c r="K90" s="21">
        <f t="shared" si="76"/>
        <v>0</v>
      </c>
      <c r="L90" s="21">
        <v>3.5000000000000003E-2</v>
      </c>
      <c r="M90" s="21">
        <f t="shared" si="77"/>
        <v>3.0205000000000002</v>
      </c>
      <c r="N90" s="35" t="s">
        <v>2417</v>
      </c>
      <c r="O90" s="39"/>
      <c r="U90" s="41">
        <f t="shared" si="78"/>
        <v>0</v>
      </c>
      <c r="W90" s="41">
        <f t="shared" si="79"/>
        <v>0</v>
      </c>
      <c r="X90" s="41">
        <f t="shared" si="80"/>
        <v>0</v>
      </c>
      <c r="Y90" s="41">
        <f t="shared" si="81"/>
        <v>0</v>
      </c>
      <c r="Z90" s="41">
        <f t="shared" si="82"/>
        <v>0</v>
      </c>
      <c r="AA90" s="41">
        <f t="shared" si="83"/>
        <v>0</v>
      </c>
      <c r="AB90" s="41">
        <f t="shared" si="84"/>
        <v>0</v>
      </c>
      <c r="AC90" s="41">
        <f t="shared" si="85"/>
        <v>0</v>
      </c>
      <c r="AD90" s="31"/>
      <c r="AE90" s="21">
        <f t="shared" si="86"/>
        <v>0</v>
      </c>
      <c r="AF90" s="21">
        <f t="shared" si="87"/>
        <v>0</v>
      </c>
      <c r="AG90" s="21">
        <f t="shared" si="88"/>
        <v>0</v>
      </c>
      <c r="AI90" s="41">
        <v>21</v>
      </c>
      <c r="AJ90" s="41">
        <f>H90*0.764006791171477</f>
        <v>0</v>
      </c>
      <c r="AK90" s="41">
        <f>H90*(1-0.764006791171477)</f>
        <v>0</v>
      </c>
      <c r="AL90" s="42" t="s">
        <v>13</v>
      </c>
      <c r="AQ90" s="41">
        <f t="shared" si="89"/>
        <v>0</v>
      </c>
      <c r="AR90" s="41">
        <f t="shared" si="90"/>
        <v>0</v>
      </c>
      <c r="AS90" s="41">
        <f t="shared" si="91"/>
        <v>0</v>
      </c>
      <c r="AT90" s="44" t="s">
        <v>2433</v>
      </c>
      <c r="AU90" s="44" t="s">
        <v>2479</v>
      </c>
      <c r="AV90" s="31" t="s">
        <v>2486</v>
      </c>
      <c r="AX90" s="41">
        <f t="shared" si="92"/>
        <v>0</v>
      </c>
      <c r="AY90" s="41">
        <f t="shared" si="93"/>
        <v>0</v>
      </c>
      <c r="AZ90" s="41">
        <v>0</v>
      </c>
      <c r="BA90" s="41">
        <f t="shared" si="94"/>
        <v>3.0205000000000002</v>
      </c>
      <c r="BC90" s="21">
        <f t="shared" si="95"/>
        <v>0</v>
      </c>
      <c r="BD90" s="21">
        <f t="shared" si="96"/>
        <v>0</v>
      </c>
      <c r="BE90" s="21">
        <f t="shared" si="97"/>
        <v>0</v>
      </c>
      <c r="BF90" s="21" t="s">
        <v>2492</v>
      </c>
      <c r="BG90" s="41">
        <v>714</v>
      </c>
    </row>
    <row r="91" spans="1:59" x14ac:dyDescent="0.3">
      <c r="A91" s="4" t="s">
        <v>80</v>
      </c>
      <c r="B91" s="13"/>
      <c r="C91" s="13" t="s">
        <v>1080</v>
      </c>
      <c r="D91" s="101" t="s">
        <v>1708</v>
      </c>
      <c r="E91" s="102"/>
      <c r="F91" s="13" t="s">
        <v>2387</v>
      </c>
      <c r="G91" s="21">
        <v>84.8</v>
      </c>
      <c r="H91" s="21">
        <v>0</v>
      </c>
      <c r="I91" s="21">
        <f t="shared" si="74"/>
        <v>0</v>
      </c>
      <c r="J91" s="21">
        <f t="shared" si="75"/>
        <v>0</v>
      </c>
      <c r="K91" s="21">
        <f t="shared" si="76"/>
        <v>0</v>
      </c>
      <c r="L91" s="21">
        <v>0.04</v>
      </c>
      <c r="M91" s="21">
        <f t="shared" si="77"/>
        <v>3.3919999999999999</v>
      </c>
      <c r="N91" s="35" t="s">
        <v>2417</v>
      </c>
      <c r="O91" s="39"/>
      <c r="U91" s="41">
        <f t="shared" si="78"/>
        <v>0</v>
      </c>
      <c r="W91" s="41">
        <f t="shared" si="79"/>
        <v>0</v>
      </c>
      <c r="X91" s="41">
        <f t="shared" si="80"/>
        <v>0</v>
      </c>
      <c r="Y91" s="41">
        <f t="shared" si="81"/>
        <v>0</v>
      </c>
      <c r="Z91" s="41">
        <f t="shared" si="82"/>
        <v>0</v>
      </c>
      <c r="AA91" s="41">
        <f t="shared" si="83"/>
        <v>0</v>
      </c>
      <c r="AB91" s="41">
        <f t="shared" si="84"/>
        <v>0</v>
      </c>
      <c r="AC91" s="41">
        <f t="shared" si="85"/>
        <v>0</v>
      </c>
      <c r="AD91" s="31"/>
      <c r="AE91" s="21">
        <f t="shared" si="86"/>
        <v>0</v>
      </c>
      <c r="AF91" s="21">
        <f t="shared" si="87"/>
        <v>0</v>
      </c>
      <c r="AG91" s="21">
        <f t="shared" si="88"/>
        <v>0</v>
      </c>
      <c r="AI91" s="41">
        <v>21</v>
      </c>
      <c r="AJ91" s="41">
        <f>H91*0.744416873449132</f>
        <v>0</v>
      </c>
      <c r="AK91" s="41">
        <f>H91*(1-0.744416873449132)</f>
        <v>0</v>
      </c>
      <c r="AL91" s="42" t="s">
        <v>13</v>
      </c>
      <c r="AQ91" s="41">
        <f t="shared" si="89"/>
        <v>0</v>
      </c>
      <c r="AR91" s="41">
        <f t="shared" si="90"/>
        <v>0</v>
      </c>
      <c r="AS91" s="41">
        <f t="shared" si="91"/>
        <v>0</v>
      </c>
      <c r="AT91" s="44" t="s">
        <v>2433</v>
      </c>
      <c r="AU91" s="44" t="s">
        <v>2479</v>
      </c>
      <c r="AV91" s="31" t="s">
        <v>2486</v>
      </c>
      <c r="AX91" s="41">
        <f t="shared" si="92"/>
        <v>0</v>
      </c>
      <c r="AY91" s="41">
        <f t="shared" si="93"/>
        <v>0</v>
      </c>
      <c r="AZ91" s="41">
        <v>0</v>
      </c>
      <c r="BA91" s="41">
        <f t="shared" si="94"/>
        <v>3.3919999999999999</v>
      </c>
      <c r="BC91" s="21">
        <f t="shared" si="95"/>
        <v>0</v>
      </c>
      <c r="BD91" s="21">
        <f t="shared" si="96"/>
        <v>0</v>
      </c>
      <c r="BE91" s="21">
        <f t="shared" si="97"/>
        <v>0</v>
      </c>
      <c r="BF91" s="21" t="s">
        <v>2492</v>
      </c>
      <c r="BG91" s="41">
        <v>714</v>
      </c>
    </row>
    <row r="92" spans="1:59" x14ac:dyDescent="0.3">
      <c r="A92" s="4" t="s">
        <v>81</v>
      </c>
      <c r="B92" s="13"/>
      <c r="C92" s="13" t="s">
        <v>1081</v>
      </c>
      <c r="D92" s="101" t="s">
        <v>1709</v>
      </c>
      <c r="E92" s="102"/>
      <c r="F92" s="13" t="s">
        <v>2384</v>
      </c>
      <c r="G92" s="21">
        <v>22</v>
      </c>
      <c r="H92" s="21">
        <v>0</v>
      </c>
      <c r="I92" s="21">
        <f t="shared" si="74"/>
        <v>0</v>
      </c>
      <c r="J92" s="21">
        <f t="shared" si="75"/>
        <v>0</v>
      </c>
      <c r="K92" s="21">
        <f t="shared" si="76"/>
        <v>0</v>
      </c>
      <c r="L92" s="21">
        <v>0.02</v>
      </c>
      <c r="M92" s="21">
        <f t="shared" si="77"/>
        <v>0.44</v>
      </c>
      <c r="N92" s="35" t="s">
        <v>2417</v>
      </c>
      <c r="O92" s="39"/>
      <c r="U92" s="41">
        <f t="shared" si="78"/>
        <v>0</v>
      </c>
      <c r="W92" s="41">
        <f t="shared" si="79"/>
        <v>0</v>
      </c>
      <c r="X92" s="41">
        <f t="shared" si="80"/>
        <v>0</v>
      </c>
      <c r="Y92" s="41">
        <f t="shared" si="81"/>
        <v>0</v>
      </c>
      <c r="Z92" s="41">
        <f t="shared" si="82"/>
        <v>0</v>
      </c>
      <c r="AA92" s="41">
        <f t="shared" si="83"/>
        <v>0</v>
      </c>
      <c r="AB92" s="41">
        <f t="shared" si="84"/>
        <v>0</v>
      </c>
      <c r="AC92" s="41">
        <f t="shared" si="85"/>
        <v>0</v>
      </c>
      <c r="AD92" s="31"/>
      <c r="AE92" s="21">
        <f t="shared" si="86"/>
        <v>0</v>
      </c>
      <c r="AF92" s="21">
        <f t="shared" si="87"/>
        <v>0</v>
      </c>
      <c r="AG92" s="21">
        <f t="shared" si="88"/>
        <v>0</v>
      </c>
      <c r="AI92" s="41">
        <v>21</v>
      </c>
      <c r="AJ92" s="41">
        <f>H92*0.87180917840703</f>
        <v>0</v>
      </c>
      <c r="AK92" s="41">
        <f>H92*(1-0.87180917840703)</f>
        <v>0</v>
      </c>
      <c r="AL92" s="42" t="s">
        <v>13</v>
      </c>
      <c r="AQ92" s="41">
        <f t="shared" si="89"/>
        <v>0</v>
      </c>
      <c r="AR92" s="41">
        <f t="shared" si="90"/>
        <v>0</v>
      </c>
      <c r="AS92" s="41">
        <f t="shared" si="91"/>
        <v>0</v>
      </c>
      <c r="AT92" s="44" t="s">
        <v>2433</v>
      </c>
      <c r="AU92" s="44" t="s">
        <v>2479</v>
      </c>
      <c r="AV92" s="31" t="s">
        <v>2486</v>
      </c>
      <c r="AX92" s="41">
        <f t="shared" si="92"/>
        <v>0</v>
      </c>
      <c r="AY92" s="41">
        <f t="shared" si="93"/>
        <v>0</v>
      </c>
      <c r="AZ92" s="41">
        <v>0</v>
      </c>
      <c r="BA92" s="41">
        <f t="shared" si="94"/>
        <v>0.44</v>
      </c>
      <c r="BC92" s="21">
        <f t="shared" si="95"/>
        <v>0</v>
      </c>
      <c r="BD92" s="21">
        <f t="shared" si="96"/>
        <v>0</v>
      </c>
      <c r="BE92" s="21">
        <f t="shared" si="97"/>
        <v>0</v>
      </c>
      <c r="BF92" s="21" t="s">
        <v>2492</v>
      </c>
      <c r="BG92" s="41">
        <v>714</v>
      </c>
    </row>
    <row r="93" spans="1:59" x14ac:dyDescent="0.3">
      <c r="A93" s="4" t="s">
        <v>82</v>
      </c>
      <c r="B93" s="13"/>
      <c r="C93" s="13" t="s">
        <v>1082</v>
      </c>
      <c r="D93" s="101" t="s">
        <v>1710</v>
      </c>
      <c r="E93" s="102"/>
      <c r="F93" s="13" t="s">
        <v>2384</v>
      </c>
      <c r="G93" s="21">
        <v>37</v>
      </c>
      <c r="H93" s="21">
        <v>0</v>
      </c>
      <c r="I93" s="21">
        <f t="shared" si="74"/>
        <v>0</v>
      </c>
      <c r="J93" s="21">
        <f t="shared" si="75"/>
        <v>0</v>
      </c>
      <c r="K93" s="21">
        <f t="shared" si="76"/>
        <v>0</v>
      </c>
      <c r="L93" s="21">
        <v>3.5000000000000003E-2</v>
      </c>
      <c r="M93" s="21">
        <f t="shared" si="77"/>
        <v>1.2950000000000002</v>
      </c>
      <c r="N93" s="35" t="s">
        <v>2417</v>
      </c>
      <c r="O93" s="39"/>
      <c r="U93" s="41">
        <f t="shared" si="78"/>
        <v>0</v>
      </c>
      <c r="W93" s="41">
        <f t="shared" si="79"/>
        <v>0</v>
      </c>
      <c r="X93" s="41">
        <f t="shared" si="80"/>
        <v>0</v>
      </c>
      <c r="Y93" s="41">
        <f t="shared" si="81"/>
        <v>0</v>
      </c>
      <c r="Z93" s="41">
        <f t="shared" si="82"/>
        <v>0</v>
      </c>
      <c r="AA93" s="41">
        <f t="shared" si="83"/>
        <v>0</v>
      </c>
      <c r="AB93" s="41">
        <f t="shared" si="84"/>
        <v>0</v>
      </c>
      <c r="AC93" s="41">
        <f t="shared" si="85"/>
        <v>0</v>
      </c>
      <c r="AD93" s="31"/>
      <c r="AE93" s="21">
        <f t="shared" si="86"/>
        <v>0</v>
      </c>
      <c r="AF93" s="21">
        <f t="shared" si="87"/>
        <v>0</v>
      </c>
      <c r="AG93" s="21">
        <f t="shared" si="88"/>
        <v>0</v>
      </c>
      <c r="AI93" s="41">
        <v>21</v>
      </c>
      <c r="AJ93" s="41">
        <f>H93*0.853910197110937</f>
        <v>0</v>
      </c>
      <c r="AK93" s="41">
        <f>H93*(1-0.853910197110937)</f>
        <v>0</v>
      </c>
      <c r="AL93" s="42" t="s">
        <v>13</v>
      </c>
      <c r="AQ93" s="41">
        <f t="shared" si="89"/>
        <v>0</v>
      </c>
      <c r="AR93" s="41">
        <f t="shared" si="90"/>
        <v>0</v>
      </c>
      <c r="AS93" s="41">
        <f t="shared" si="91"/>
        <v>0</v>
      </c>
      <c r="AT93" s="44" t="s">
        <v>2433</v>
      </c>
      <c r="AU93" s="44" t="s">
        <v>2479</v>
      </c>
      <c r="AV93" s="31" t="s">
        <v>2486</v>
      </c>
      <c r="AX93" s="41">
        <f t="shared" si="92"/>
        <v>0</v>
      </c>
      <c r="AY93" s="41">
        <f t="shared" si="93"/>
        <v>0</v>
      </c>
      <c r="AZ93" s="41">
        <v>0</v>
      </c>
      <c r="BA93" s="41">
        <f t="shared" si="94"/>
        <v>1.2950000000000002</v>
      </c>
      <c r="BC93" s="21">
        <f t="shared" si="95"/>
        <v>0</v>
      </c>
      <c r="BD93" s="21">
        <f t="shared" si="96"/>
        <v>0</v>
      </c>
      <c r="BE93" s="21">
        <f t="shared" si="97"/>
        <v>0</v>
      </c>
      <c r="BF93" s="21" t="s">
        <v>2492</v>
      </c>
      <c r="BG93" s="41">
        <v>714</v>
      </c>
    </row>
    <row r="94" spans="1:59" x14ac:dyDescent="0.3">
      <c r="A94" s="4" t="s">
        <v>83</v>
      </c>
      <c r="B94" s="13"/>
      <c r="C94" s="13" t="s">
        <v>1083</v>
      </c>
      <c r="D94" s="101" t="s">
        <v>1711</v>
      </c>
      <c r="E94" s="102"/>
      <c r="F94" s="13" t="s">
        <v>2390</v>
      </c>
      <c r="G94" s="21">
        <v>1</v>
      </c>
      <c r="H94" s="21">
        <v>0</v>
      </c>
      <c r="I94" s="21">
        <f t="shared" si="74"/>
        <v>0</v>
      </c>
      <c r="J94" s="21">
        <f t="shared" si="75"/>
        <v>0</v>
      </c>
      <c r="K94" s="21">
        <f t="shared" si="76"/>
        <v>0</v>
      </c>
      <c r="L94" s="21">
        <v>1.3999999999999999E-4</v>
      </c>
      <c r="M94" s="21">
        <f t="shared" si="77"/>
        <v>1.3999999999999999E-4</v>
      </c>
      <c r="N94" s="35" t="s">
        <v>2417</v>
      </c>
      <c r="O94" s="39"/>
      <c r="U94" s="41">
        <f t="shared" si="78"/>
        <v>0</v>
      </c>
      <c r="W94" s="41">
        <f t="shared" si="79"/>
        <v>0</v>
      </c>
      <c r="X94" s="41">
        <f t="shared" si="80"/>
        <v>0</v>
      </c>
      <c r="Y94" s="41">
        <f t="shared" si="81"/>
        <v>0</v>
      </c>
      <c r="Z94" s="41">
        <f t="shared" si="82"/>
        <v>0</v>
      </c>
      <c r="AA94" s="41">
        <f t="shared" si="83"/>
        <v>0</v>
      </c>
      <c r="AB94" s="41">
        <f t="shared" si="84"/>
        <v>0</v>
      </c>
      <c r="AC94" s="41">
        <f t="shared" si="85"/>
        <v>0</v>
      </c>
      <c r="AD94" s="31"/>
      <c r="AE94" s="21">
        <f t="shared" si="86"/>
        <v>0</v>
      </c>
      <c r="AF94" s="21">
        <f t="shared" si="87"/>
        <v>0</v>
      </c>
      <c r="AG94" s="21">
        <f t="shared" si="88"/>
        <v>0</v>
      </c>
      <c r="AI94" s="41">
        <v>21</v>
      </c>
      <c r="AJ94" s="41">
        <f>H94*0</f>
        <v>0</v>
      </c>
      <c r="AK94" s="41">
        <f>H94*(1-0)</f>
        <v>0</v>
      </c>
      <c r="AL94" s="42" t="s">
        <v>13</v>
      </c>
      <c r="AQ94" s="41">
        <f t="shared" si="89"/>
        <v>0</v>
      </c>
      <c r="AR94" s="41">
        <f t="shared" si="90"/>
        <v>0</v>
      </c>
      <c r="AS94" s="41">
        <f t="shared" si="91"/>
        <v>0</v>
      </c>
      <c r="AT94" s="44" t="s">
        <v>2433</v>
      </c>
      <c r="AU94" s="44" t="s">
        <v>2479</v>
      </c>
      <c r="AV94" s="31" t="s">
        <v>2486</v>
      </c>
      <c r="AX94" s="41">
        <f t="shared" si="92"/>
        <v>0</v>
      </c>
      <c r="AY94" s="41">
        <f t="shared" si="93"/>
        <v>0</v>
      </c>
      <c r="AZ94" s="41">
        <v>0</v>
      </c>
      <c r="BA94" s="41">
        <f t="shared" si="94"/>
        <v>1.3999999999999999E-4</v>
      </c>
      <c r="BC94" s="21">
        <f t="shared" si="95"/>
        <v>0</v>
      </c>
      <c r="BD94" s="21">
        <f t="shared" si="96"/>
        <v>0</v>
      </c>
      <c r="BE94" s="21">
        <f t="shared" si="97"/>
        <v>0</v>
      </c>
      <c r="BF94" s="21" t="s">
        <v>2492</v>
      </c>
      <c r="BG94" s="41">
        <v>714</v>
      </c>
    </row>
    <row r="95" spans="1:59" x14ac:dyDescent="0.3">
      <c r="A95" s="4" t="s">
        <v>84</v>
      </c>
      <c r="B95" s="13"/>
      <c r="C95" s="13" t="s">
        <v>1084</v>
      </c>
      <c r="D95" s="101" t="s">
        <v>1712</v>
      </c>
      <c r="E95" s="102"/>
      <c r="F95" s="13" t="s">
        <v>2387</v>
      </c>
      <c r="G95" s="21">
        <v>58.533000000000001</v>
      </c>
      <c r="H95" s="21">
        <v>0</v>
      </c>
      <c r="I95" s="21">
        <f t="shared" si="74"/>
        <v>0</v>
      </c>
      <c r="J95" s="21">
        <f t="shared" si="75"/>
        <v>0</v>
      </c>
      <c r="K95" s="21">
        <f t="shared" si="76"/>
        <v>0</v>
      </c>
      <c r="L95" s="21">
        <v>0</v>
      </c>
      <c r="M95" s="21">
        <f t="shared" si="77"/>
        <v>0</v>
      </c>
      <c r="N95" s="35" t="s">
        <v>2417</v>
      </c>
      <c r="O95" s="39"/>
      <c r="U95" s="41">
        <f t="shared" si="78"/>
        <v>0</v>
      </c>
      <c r="W95" s="41">
        <f t="shared" si="79"/>
        <v>0</v>
      </c>
      <c r="X95" s="41">
        <f t="shared" si="80"/>
        <v>0</v>
      </c>
      <c r="Y95" s="41">
        <f t="shared" si="81"/>
        <v>0</v>
      </c>
      <c r="Z95" s="41">
        <f t="shared" si="82"/>
        <v>0</v>
      </c>
      <c r="AA95" s="41">
        <f t="shared" si="83"/>
        <v>0</v>
      </c>
      <c r="AB95" s="41">
        <f t="shared" si="84"/>
        <v>0</v>
      </c>
      <c r="AC95" s="41">
        <f t="shared" si="85"/>
        <v>0</v>
      </c>
      <c r="AD95" s="31"/>
      <c r="AE95" s="21">
        <f t="shared" si="86"/>
        <v>0</v>
      </c>
      <c r="AF95" s="21">
        <f t="shared" si="87"/>
        <v>0</v>
      </c>
      <c r="AG95" s="21">
        <f t="shared" si="88"/>
        <v>0</v>
      </c>
      <c r="AI95" s="41">
        <v>21</v>
      </c>
      <c r="AJ95" s="41">
        <f>H95*0</f>
        <v>0</v>
      </c>
      <c r="AK95" s="41">
        <f>H95*(1-0)</f>
        <v>0</v>
      </c>
      <c r="AL95" s="42" t="s">
        <v>13</v>
      </c>
      <c r="AQ95" s="41">
        <f t="shared" si="89"/>
        <v>0</v>
      </c>
      <c r="AR95" s="41">
        <f t="shared" si="90"/>
        <v>0</v>
      </c>
      <c r="AS95" s="41">
        <f t="shared" si="91"/>
        <v>0</v>
      </c>
      <c r="AT95" s="44" t="s">
        <v>2433</v>
      </c>
      <c r="AU95" s="44" t="s">
        <v>2479</v>
      </c>
      <c r="AV95" s="31" t="s">
        <v>2486</v>
      </c>
      <c r="AX95" s="41">
        <f t="shared" si="92"/>
        <v>0</v>
      </c>
      <c r="AY95" s="41">
        <f t="shared" si="93"/>
        <v>0</v>
      </c>
      <c r="AZ95" s="41">
        <v>0</v>
      </c>
      <c r="BA95" s="41">
        <f t="shared" si="94"/>
        <v>0</v>
      </c>
      <c r="BC95" s="21">
        <f t="shared" si="95"/>
        <v>0</v>
      </c>
      <c r="BD95" s="21">
        <f t="shared" si="96"/>
        <v>0</v>
      </c>
      <c r="BE95" s="21">
        <f t="shared" si="97"/>
        <v>0</v>
      </c>
      <c r="BF95" s="21" t="s">
        <v>2492</v>
      </c>
      <c r="BG95" s="41">
        <v>714</v>
      </c>
    </row>
    <row r="96" spans="1:59" x14ac:dyDescent="0.3">
      <c r="A96" s="6" t="s">
        <v>85</v>
      </c>
      <c r="B96" s="15"/>
      <c r="C96" s="15" t="s">
        <v>1085</v>
      </c>
      <c r="D96" s="107" t="s">
        <v>1713</v>
      </c>
      <c r="E96" s="108"/>
      <c r="F96" s="15" t="s">
        <v>2387</v>
      </c>
      <c r="G96" s="22">
        <v>4.3460999999999999</v>
      </c>
      <c r="H96" s="21">
        <v>0</v>
      </c>
      <c r="I96" s="22">
        <f t="shared" si="74"/>
        <v>0</v>
      </c>
      <c r="J96" s="22">
        <f t="shared" si="75"/>
        <v>0</v>
      </c>
      <c r="K96" s="22">
        <f t="shared" si="76"/>
        <v>0</v>
      </c>
      <c r="L96" s="22">
        <v>3.0000000000000001E-3</v>
      </c>
      <c r="M96" s="22">
        <f t="shared" si="77"/>
        <v>1.3038299999999999E-2</v>
      </c>
      <c r="N96" s="37" t="s">
        <v>2417</v>
      </c>
      <c r="O96" s="39"/>
      <c r="U96" s="41">
        <f t="shared" si="78"/>
        <v>0</v>
      </c>
      <c r="W96" s="41">
        <f t="shared" si="79"/>
        <v>0</v>
      </c>
      <c r="X96" s="41">
        <f t="shared" si="80"/>
        <v>0</v>
      </c>
      <c r="Y96" s="41">
        <f t="shared" si="81"/>
        <v>0</v>
      </c>
      <c r="Z96" s="41">
        <f t="shared" si="82"/>
        <v>0</v>
      </c>
      <c r="AA96" s="41">
        <f t="shared" si="83"/>
        <v>0</v>
      </c>
      <c r="AB96" s="41">
        <f t="shared" si="84"/>
        <v>0</v>
      </c>
      <c r="AC96" s="41">
        <f t="shared" si="85"/>
        <v>0</v>
      </c>
      <c r="AD96" s="31"/>
      <c r="AE96" s="22">
        <f t="shared" si="86"/>
        <v>0</v>
      </c>
      <c r="AF96" s="22">
        <f t="shared" si="87"/>
        <v>0</v>
      </c>
      <c r="AG96" s="22">
        <f t="shared" si="88"/>
        <v>0</v>
      </c>
      <c r="AI96" s="41">
        <v>21</v>
      </c>
      <c r="AJ96" s="41">
        <f>H96*1</f>
        <v>0</v>
      </c>
      <c r="AK96" s="41">
        <f>H96*(1-1)</f>
        <v>0</v>
      </c>
      <c r="AL96" s="43" t="s">
        <v>13</v>
      </c>
      <c r="AQ96" s="41">
        <f t="shared" si="89"/>
        <v>0</v>
      </c>
      <c r="AR96" s="41">
        <f t="shared" si="90"/>
        <v>0</v>
      </c>
      <c r="AS96" s="41">
        <f t="shared" si="91"/>
        <v>0</v>
      </c>
      <c r="AT96" s="44" t="s">
        <v>2433</v>
      </c>
      <c r="AU96" s="44" t="s">
        <v>2479</v>
      </c>
      <c r="AV96" s="31" t="s">
        <v>2486</v>
      </c>
      <c r="AX96" s="41">
        <f t="shared" si="92"/>
        <v>0</v>
      </c>
      <c r="AY96" s="41">
        <f t="shared" si="93"/>
        <v>0</v>
      </c>
      <c r="AZ96" s="41">
        <v>0</v>
      </c>
      <c r="BA96" s="41">
        <f t="shared" si="94"/>
        <v>1.3038299999999999E-2</v>
      </c>
      <c r="BC96" s="22">
        <f t="shared" si="95"/>
        <v>0</v>
      </c>
      <c r="BD96" s="22">
        <f t="shared" si="96"/>
        <v>0</v>
      </c>
      <c r="BE96" s="22">
        <f t="shared" si="97"/>
        <v>0</v>
      </c>
      <c r="BF96" s="22" t="s">
        <v>1341</v>
      </c>
      <c r="BG96" s="41">
        <v>714</v>
      </c>
    </row>
    <row r="97" spans="1:59" x14ac:dyDescent="0.3">
      <c r="A97" s="6" t="s">
        <v>86</v>
      </c>
      <c r="B97" s="15"/>
      <c r="C97" s="15" t="s">
        <v>1086</v>
      </c>
      <c r="D97" s="107" t="s">
        <v>1714</v>
      </c>
      <c r="E97" s="108"/>
      <c r="F97" s="15" t="s">
        <v>2387</v>
      </c>
      <c r="G97" s="22">
        <v>59.62</v>
      </c>
      <c r="H97" s="21">
        <v>0</v>
      </c>
      <c r="I97" s="22">
        <f t="shared" si="74"/>
        <v>0</v>
      </c>
      <c r="J97" s="22">
        <f t="shared" si="75"/>
        <v>0</v>
      </c>
      <c r="K97" s="22">
        <f t="shared" si="76"/>
        <v>0</v>
      </c>
      <c r="L97" s="22">
        <v>3.7200000000000002E-3</v>
      </c>
      <c r="M97" s="22">
        <f t="shared" si="77"/>
        <v>0.22178639999999999</v>
      </c>
      <c r="N97" s="37" t="s">
        <v>2417</v>
      </c>
      <c r="O97" s="39"/>
      <c r="U97" s="41">
        <f t="shared" si="78"/>
        <v>0</v>
      </c>
      <c r="W97" s="41">
        <f t="shared" si="79"/>
        <v>0</v>
      </c>
      <c r="X97" s="41">
        <f t="shared" si="80"/>
        <v>0</v>
      </c>
      <c r="Y97" s="41">
        <f t="shared" si="81"/>
        <v>0</v>
      </c>
      <c r="Z97" s="41">
        <f t="shared" si="82"/>
        <v>0</v>
      </c>
      <c r="AA97" s="41">
        <f t="shared" si="83"/>
        <v>0</v>
      </c>
      <c r="AB97" s="41">
        <f t="shared" si="84"/>
        <v>0</v>
      </c>
      <c r="AC97" s="41">
        <f t="shared" si="85"/>
        <v>0</v>
      </c>
      <c r="AD97" s="31"/>
      <c r="AE97" s="22">
        <f t="shared" si="86"/>
        <v>0</v>
      </c>
      <c r="AF97" s="22">
        <f t="shared" si="87"/>
        <v>0</v>
      </c>
      <c r="AG97" s="22">
        <f t="shared" si="88"/>
        <v>0</v>
      </c>
      <c r="AI97" s="41">
        <v>21</v>
      </c>
      <c r="AJ97" s="41">
        <f>H97*1</f>
        <v>0</v>
      </c>
      <c r="AK97" s="41">
        <f>H97*(1-1)</f>
        <v>0</v>
      </c>
      <c r="AL97" s="43" t="s">
        <v>13</v>
      </c>
      <c r="AQ97" s="41">
        <f t="shared" si="89"/>
        <v>0</v>
      </c>
      <c r="AR97" s="41">
        <f t="shared" si="90"/>
        <v>0</v>
      </c>
      <c r="AS97" s="41">
        <f t="shared" si="91"/>
        <v>0</v>
      </c>
      <c r="AT97" s="44" t="s">
        <v>2433</v>
      </c>
      <c r="AU97" s="44" t="s">
        <v>2479</v>
      </c>
      <c r="AV97" s="31" t="s">
        <v>2486</v>
      </c>
      <c r="AX97" s="41">
        <f t="shared" si="92"/>
        <v>0</v>
      </c>
      <c r="AY97" s="41">
        <f t="shared" si="93"/>
        <v>0</v>
      </c>
      <c r="AZ97" s="41">
        <v>0</v>
      </c>
      <c r="BA97" s="41">
        <f t="shared" si="94"/>
        <v>0.22178639999999999</v>
      </c>
      <c r="BC97" s="22">
        <f t="shared" si="95"/>
        <v>0</v>
      </c>
      <c r="BD97" s="22">
        <f t="shared" si="96"/>
        <v>0</v>
      </c>
      <c r="BE97" s="22">
        <f t="shared" si="97"/>
        <v>0</v>
      </c>
      <c r="BF97" s="22" t="s">
        <v>1341</v>
      </c>
      <c r="BG97" s="41">
        <v>714</v>
      </c>
    </row>
    <row r="98" spans="1:59" x14ac:dyDescent="0.3">
      <c r="A98" s="5"/>
      <c r="B98" s="14"/>
      <c r="C98" s="14" t="s">
        <v>723</v>
      </c>
      <c r="D98" s="103" t="s">
        <v>1715</v>
      </c>
      <c r="E98" s="104"/>
      <c r="F98" s="19" t="s">
        <v>6</v>
      </c>
      <c r="G98" s="19" t="s">
        <v>6</v>
      </c>
      <c r="H98" s="19" t="s">
        <v>6</v>
      </c>
      <c r="I98" s="47">
        <f>SUM(I99:I131)</f>
        <v>0</v>
      </c>
      <c r="J98" s="47">
        <f>SUM(J99:J131)</f>
        <v>0</v>
      </c>
      <c r="K98" s="47">
        <f>SUM(K99:K131)</f>
        <v>0</v>
      </c>
      <c r="L98" s="31"/>
      <c r="M98" s="47">
        <f>SUM(M99:M131)</f>
        <v>0</v>
      </c>
      <c r="N98" s="36"/>
      <c r="O98" s="39"/>
      <c r="AD98" s="31"/>
      <c r="AN98" s="47">
        <f>SUM(AE99:AE131)</f>
        <v>0</v>
      </c>
      <c r="AO98" s="47">
        <f>SUM(AF99:AF131)</f>
        <v>0</v>
      </c>
      <c r="AP98" s="47">
        <f>SUM(AG99:AG131)</f>
        <v>0</v>
      </c>
    </row>
    <row r="99" spans="1:59" ht="12.75" customHeight="1" x14ac:dyDescent="0.3">
      <c r="A99" s="4" t="s">
        <v>87</v>
      </c>
      <c r="B99" s="13"/>
      <c r="C99" s="13" t="s">
        <v>1087</v>
      </c>
      <c r="D99" s="101" t="s">
        <v>1716</v>
      </c>
      <c r="E99" s="102"/>
      <c r="F99" s="13" t="s">
        <v>2384</v>
      </c>
      <c r="G99" s="21">
        <v>3</v>
      </c>
      <c r="H99" s="21">
        <v>0</v>
      </c>
      <c r="I99" s="21">
        <f t="shared" ref="I99:I131" si="98">G99*AJ99</f>
        <v>0</v>
      </c>
      <c r="J99" s="21">
        <f t="shared" ref="J99:J131" si="99">G99*AK99</f>
        <v>0</v>
      </c>
      <c r="K99" s="21">
        <f t="shared" ref="K99:K131" si="100">G99*H99</f>
        <v>0</v>
      </c>
      <c r="L99" s="21">
        <v>0</v>
      </c>
      <c r="M99" s="21">
        <f t="shared" ref="M99:M131" si="101">G99*L99</f>
        <v>0</v>
      </c>
      <c r="N99" s="35"/>
      <c r="O99" s="39"/>
      <c r="U99" s="41">
        <f t="shared" ref="U99:U131" si="102">IF(AL99="5",BE99,0)</f>
        <v>0</v>
      </c>
      <c r="W99" s="41">
        <f t="shared" ref="W99:W131" si="103">IF(AL99="1",BC99,0)</f>
        <v>0</v>
      </c>
      <c r="X99" s="41">
        <f t="shared" ref="X99:X131" si="104">IF(AL99="1",BD99,0)</f>
        <v>0</v>
      </c>
      <c r="Y99" s="41">
        <f t="shared" ref="Y99:Y131" si="105">IF(AL99="7",BC99,0)</f>
        <v>0</v>
      </c>
      <c r="Z99" s="41">
        <f t="shared" ref="Z99:Z131" si="106">IF(AL99="7",BD99,0)</f>
        <v>0</v>
      </c>
      <c r="AA99" s="41">
        <f t="shared" ref="AA99:AA131" si="107">IF(AL99="2",BC99,0)</f>
        <v>0</v>
      </c>
      <c r="AB99" s="41">
        <f t="shared" ref="AB99:AB131" si="108">IF(AL99="2",BD99,0)</f>
        <v>0</v>
      </c>
      <c r="AC99" s="41">
        <f t="shared" ref="AC99:AC131" si="109">IF(AL99="0",BE99,0)</f>
        <v>0</v>
      </c>
      <c r="AD99" s="31"/>
      <c r="AE99" s="21">
        <f t="shared" ref="AE99:AE131" si="110">IF(AI99=0,K99,0)</f>
        <v>0</v>
      </c>
      <c r="AF99" s="21">
        <f t="shared" ref="AF99:AF131" si="111">IF(AI99=15,K99,0)</f>
        <v>0</v>
      </c>
      <c r="AG99" s="21">
        <f t="shared" ref="AG99:AG131" si="112">IF(AI99=21,K99,0)</f>
        <v>0</v>
      </c>
      <c r="AI99" s="41">
        <v>21</v>
      </c>
      <c r="AJ99" s="41">
        <f t="shared" ref="AJ99:AJ131" si="113">H99*0</f>
        <v>0</v>
      </c>
      <c r="AK99" s="41">
        <f t="shared" ref="AK99:AK131" si="114">H99*(1-0)</f>
        <v>0</v>
      </c>
      <c r="AL99" s="42" t="s">
        <v>13</v>
      </c>
      <c r="AQ99" s="41">
        <f t="shared" ref="AQ99:AQ131" si="115">AR99+AS99</f>
        <v>0</v>
      </c>
      <c r="AR99" s="41">
        <f t="shared" ref="AR99:AR131" si="116">G99*AJ99</f>
        <v>0</v>
      </c>
      <c r="AS99" s="41">
        <f t="shared" ref="AS99:AS131" si="117">G99*AK99</f>
        <v>0</v>
      </c>
      <c r="AT99" s="44" t="s">
        <v>2434</v>
      </c>
      <c r="AU99" s="44" t="s">
        <v>2480</v>
      </c>
      <c r="AV99" s="31" t="s">
        <v>2486</v>
      </c>
      <c r="AX99" s="41">
        <f t="shared" ref="AX99:AX131" si="118">AR99+AS99</f>
        <v>0</v>
      </c>
      <c r="AY99" s="41">
        <f t="shared" ref="AY99:AY131" si="119">H99/(100-AZ99)*100</f>
        <v>0</v>
      </c>
      <c r="AZ99" s="41">
        <v>0</v>
      </c>
      <c r="BA99" s="41">
        <f t="shared" ref="BA99:BA131" si="120">M99</f>
        <v>0</v>
      </c>
      <c r="BC99" s="21">
        <f t="shared" ref="BC99:BC131" si="121">G99*AJ99</f>
        <v>0</v>
      </c>
      <c r="BD99" s="21">
        <f t="shared" ref="BD99:BD131" si="122">G99*AK99</f>
        <v>0</v>
      </c>
      <c r="BE99" s="21">
        <f t="shared" ref="BE99:BE131" si="123">G99*H99</f>
        <v>0</v>
      </c>
      <c r="BF99" s="21" t="s">
        <v>2492</v>
      </c>
      <c r="BG99" s="41">
        <v>721</v>
      </c>
    </row>
    <row r="100" spans="1:59" x14ac:dyDescent="0.3">
      <c r="A100" s="4" t="s">
        <v>88</v>
      </c>
      <c r="B100" s="13"/>
      <c r="C100" s="13" t="s">
        <v>1087</v>
      </c>
      <c r="D100" s="101" t="s">
        <v>1717</v>
      </c>
      <c r="E100" s="102"/>
      <c r="F100" s="13" t="s">
        <v>2384</v>
      </c>
      <c r="G100" s="21">
        <v>16</v>
      </c>
      <c r="H100" s="21">
        <v>0</v>
      </c>
      <c r="I100" s="21">
        <f t="shared" si="98"/>
        <v>0</v>
      </c>
      <c r="J100" s="21">
        <f t="shared" si="99"/>
        <v>0</v>
      </c>
      <c r="K100" s="21">
        <f t="shared" si="100"/>
        <v>0</v>
      </c>
      <c r="L100" s="21">
        <v>0</v>
      </c>
      <c r="M100" s="21">
        <f t="shared" si="101"/>
        <v>0</v>
      </c>
      <c r="N100" s="35"/>
      <c r="O100" s="39"/>
      <c r="U100" s="41">
        <f t="shared" si="102"/>
        <v>0</v>
      </c>
      <c r="W100" s="41">
        <f t="shared" si="103"/>
        <v>0</v>
      </c>
      <c r="X100" s="41">
        <f t="shared" si="104"/>
        <v>0</v>
      </c>
      <c r="Y100" s="41">
        <f t="shared" si="105"/>
        <v>0</v>
      </c>
      <c r="Z100" s="41">
        <f t="shared" si="106"/>
        <v>0</v>
      </c>
      <c r="AA100" s="41">
        <f t="shared" si="107"/>
        <v>0</v>
      </c>
      <c r="AB100" s="41">
        <f t="shared" si="108"/>
        <v>0</v>
      </c>
      <c r="AC100" s="41">
        <f t="shared" si="109"/>
        <v>0</v>
      </c>
      <c r="AD100" s="31"/>
      <c r="AE100" s="21">
        <f t="shared" si="110"/>
        <v>0</v>
      </c>
      <c r="AF100" s="21">
        <f t="shared" si="111"/>
        <v>0</v>
      </c>
      <c r="AG100" s="21">
        <f t="shared" si="112"/>
        <v>0</v>
      </c>
      <c r="AI100" s="41">
        <v>21</v>
      </c>
      <c r="AJ100" s="41">
        <f t="shared" si="113"/>
        <v>0</v>
      </c>
      <c r="AK100" s="41">
        <f t="shared" si="114"/>
        <v>0</v>
      </c>
      <c r="AL100" s="42" t="s">
        <v>13</v>
      </c>
      <c r="AQ100" s="41">
        <f t="shared" si="115"/>
        <v>0</v>
      </c>
      <c r="AR100" s="41">
        <f t="shared" si="116"/>
        <v>0</v>
      </c>
      <c r="AS100" s="41">
        <f t="shared" si="117"/>
        <v>0</v>
      </c>
      <c r="AT100" s="44" t="s">
        <v>2434</v>
      </c>
      <c r="AU100" s="44" t="s">
        <v>2480</v>
      </c>
      <c r="AV100" s="31" t="s">
        <v>2486</v>
      </c>
      <c r="AX100" s="41">
        <f t="shared" si="118"/>
        <v>0</v>
      </c>
      <c r="AY100" s="41">
        <f t="shared" si="119"/>
        <v>0</v>
      </c>
      <c r="AZ100" s="41">
        <v>0</v>
      </c>
      <c r="BA100" s="41">
        <f t="shared" si="120"/>
        <v>0</v>
      </c>
      <c r="BC100" s="21">
        <f t="shared" si="121"/>
        <v>0</v>
      </c>
      <c r="BD100" s="21">
        <f t="shared" si="122"/>
        <v>0</v>
      </c>
      <c r="BE100" s="21">
        <f t="shared" si="123"/>
        <v>0</v>
      </c>
      <c r="BF100" s="21" t="s">
        <v>2492</v>
      </c>
      <c r="BG100" s="41">
        <v>721</v>
      </c>
    </row>
    <row r="101" spans="1:59" x14ac:dyDescent="0.3">
      <c r="A101" s="4" t="s">
        <v>89</v>
      </c>
      <c r="B101" s="13"/>
      <c r="C101" s="13" t="s">
        <v>1087</v>
      </c>
      <c r="D101" s="101" t="s">
        <v>1718</v>
      </c>
      <c r="E101" s="102"/>
      <c r="F101" s="13" t="s">
        <v>2384</v>
      </c>
      <c r="G101" s="21">
        <v>1</v>
      </c>
      <c r="H101" s="21">
        <v>0</v>
      </c>
      <c r="I101" s="21">
        <f t="shared" si="98"/>
        <v>0</v>
      </c>
      <c r="J101" s="21">
        <f t="shared" si="99"/>
        <v>0</v>
      </c>
      <c r="K101" s="21">
        <f t="shared" si="100"/>
        <v>0</v>
      </c>
      <c r="L101" s="21">
        <v>0</v>
      </c>
      <c r="M101" s="21">
        <f t="shared" si="101"/>
        <v>0</v>
      </c>
      <c r="N101" s="35"/>
      <c r="O101" s="39"/>
      <c r="U101" s="41">
        <f t="shared" si="102"/>
        <v>0</v>
      </c>
      <c r="W101" s="41">
        <f t="shared" si="103"/>
        <v>0</v>
      </c>
      <c r="X101" s="41">
        <f t="shared" si="104"/>
        <v>0</v>
      </c>
      <c r="Y101" s="41">
        <f t="shared" si="105"/>
        <v>0</v>
      </c>
      <c r="Z101" s="41">
        <f t="shared" si="106"/>
        <v>0</v>
      </c>
      <c r="AA101" s="41">
        <f t="shared" si="107"/>
        <v>0</v>
      </c>
      <c r="AB101" s="41">
        <f t="shared" si="108"/>
        <v>0</v>
      </c>
      <c r="AC101" s="41">
        <f t="shared" si="109"/>
        <v>0</v>
      </c>
      <c r="AD101" s="31"/>
      <c r="AE101" s="21">
        <f t="shared" si="110"/>
        <v>0</v>
      </c>
      <c r="AF101" s="21">
        <f t="shared" si="111"/>
        <v>0</v>
      </c>
      <c r="AG101" s="21">
        <f t="shared" si="112"/>
        <v>0</v>
      </c>
      <c r="AI101" s="41">
        <v>21</v>
      </c>
      <c r="AJ101" s="41">
        <f t="shared" si="113"/>
        <v>0</v>
      </c>
      <c r="AK101" s="41">
        <f t="shared" si="114"/>
        <v>0</v>
      </c>
      <c r="AL101" s="42" t="s">
        <v>13</v>
      </c>
      <c r="AQ101" s="41">
        <f t="shared" si="115"/>
        <v>0</v>
      </c>
      <c r="AR101" s="41">
        <f t="shared" si="116"/>
        <v>0</v>
      </c>
      <c r="AS101" s="41">
        <f t="shared" si="117"/>
        <v>0</v>
      </c>
      <c r="AT101" s="44" t="s">
        <v>2434</v>
      </c>
      <c r="AU101" s="44" t="s">
        <v>2480</v>
      </c>
      <c r="AV101" s="31" t="s">
        <v>2486</v>
      </c>
      <c r="AX101" s="41">
        <f t="shared" si="118"/>
        <v>0</v>
      </c>
      <c r="AY101" s="41">
        <f t="shared" si="119"/>
        <v>0</v>
      </c>
      <c r="AZ101" s="41">
        <v>0</v>
      </c>
      <c r="BA101" s="41">
        <f t="shared" si="120"/>
        <v>0</v>
      </c>
      <c r="BC101" s="21">
        <f t="shared" si="121"/>
        <v>0</v>
      </c>
      <c r="BD101" s="21">
        <f t="shared" si="122"/>
        <v>0</v>
      </c>
      <c r="BE101" s="21">
        <f t="shared" si="123"/>
        <v>0</v>
      </c>
      <c r="BF101" s="21" t="s">
        <v>2492</v>
      </c>
      <c r="BG101" s="41">
        <v>721</v>
      </c>
    </row>
    <row r="102" spans="1:59" x14ac:dyDescent="0.3">
      <c r="A102" s="4" t="s">
        <v>90</v>
      </c>
      <c r="B102" s="13"/>
      <c r="C102" s="13" t="s">
        <v>1087</v>
      </c>
      <c r="D102" s="101" t="s">
        <v>1719</v>
      </c>
      <c r="E102" s="102"/>
      <c r="F102" s="13" t="s">
        <v>2384</v>
      </c>
      <c r="G102" s="21">
        <v>2</v>
      </c>
      <c r="H102" s="21">
        <v>0</v>
      </c>
      <c r="I102" s="21">
        <f t="shared" si="98"/>
        <v>0</v>
      </c>
      <c r="J102" s="21">
        <f t="shared" si="99"/>
        <v>0</v>
      </c>
      <c r="K102" s="21">
        <f t="shared" si="100"/>
        <v>0</v>
      </c>
      <c r="L102" s="21">
        <v>0</v>
      </c>
      <c r="M102" s="21">
        <f t="shared" si="101"/>
        <v>0</v>
      </c>
      <c r="N102" s="35"/>
      <c r="O102" s="39"/>
      <c r="U102" s="41">
        <f t="shared" si="102"/>
        <v>0</v>
      </c>
      <c r="W102" s="41">
        <f t="shared" si="103"/>
        <v>0</v>
      </c>
      <c r="X102" s="41">
        <f t="shared" si="104"/>
        <v>0</v>
      </c>
      <c r="Y102" s="41">
        <f t="shared" si="105"/>
        <v>0</v>
      </c>
      <c r="Z102" s="41">
        <f t="shared" si="106"/>
        <v>0</v>
      </c>
      <c r="AA102" s="41">
        <f t="shared" si="107"/>
        <v>0</v>
      </c>
      <c r="AB102" s="41">
        <f t="shared" si="108"/>
        <v>0</v>
      </c>
      <c r="AC102" s="41">
        <f t="shared" si="109"/>
        <v>0</v>
      </c>
      <c r="AD102" s="31"/>
      <c r="AE102" s="21">
        <f t="shared" si="110"/>
        <v>0</v>
      </c>
      <c r="AF102" s="21">
        <f t="shared" si="111"/>
        <v>0</v>
      </c>
      <c r="AG102" s="21">
        <f t="shared" si="112"/>
        <v>0</v>
      </c>
      <c r="AI102" s="41">
        <v>21</v>
      </c>
      <c r="AJ102" s="41">
        <f t="shared" si="113"/>
        <v>0</v>
      </c>
      <c r="AK102" s="41">
        <f t="shared" si="114"/>
        <v>0</v>
      </c>
      <c r="AL102" s="42" t="s">
        <v>13</v>
      </c>
      <c r="AQ102" s="41">
        <f t="shared" si="115"/>
        <v>0</v>
      </c>
      <c r="AR102" s="41">
        <f t="shared" si="116"/>
        <v>0</v>
      </c>
      <c r="AS102" s="41">
        <f t="shared" si="117"/>
        <v>0</v>
      </c>
      <c r="AT102" s="44" t="s">
        <v>2434</v>
      </c>
      <c r="AU102" s="44" t="s">
        <v>2480</v>
      </c>
      <c r="AV102" s="31" t="s">
        <v>2486</v>
      </c>
      <c r="AX102" s="41">
        <f t="shared" si="118"/>
        <v>0</v>
      </c>
      <c r="AY102" s="41">
        <f t="shared" si="119"/>
        <v>0</v>
      </c>
      <c r="AZ102" s="41">
        <v>0</v>
      </c>
      <c r="BA102" s="41">
        <f t="shared" si="120"/>
        <v>0</v>
      </c>
      <c r="BC102" s="21">
        <f t="shared" si="121"/>
        <v>0</v>
      </c>
      <c r="BD102" s="21">
        <f t="shared" si="122"/>
        <v>0</v>
      </c>
      <c r="BE102" s="21">
        <f t="shared" si="123"/>
        <v>0</v>
      </c>
      <c r="BF102" s="21" t="s">
        <v>2492</v>
      </c>
      <c r="BG102" s="41">
        <v>721</v>
      </c>
    </row>
    <row r="103" spans="1:59" x14ac:dyDescent="0.3">
      <c r="A103" s="4" t="s">
        <v>91</v>
      </c>
      <c r="B103" s="13"/>
      <c r="C103" s="13" t="s">
        <v>1087</v>
      </c>
      <c r="D103" s="101" t="s">
        <v>1720</v>
      </c>
      <c r="E103" s="102"/>
      <c r="F103" s="13" t="s">
        <v>2384</v>
      </c>
      <c r="G103" s="21">
        <v>44</v>
      </c>
      <c r="H103" s="21">
        <v>0</v>
      </c>
      <c r="I103" s="21">
        <f t="shared" si="98"/>
        <v>0</v>
      </c>
      <c r="J103" s="21">
        <f t="shared" si="99"/>
        <v>0</v>
      </c>
      <c r="K103" s="21">
        <f t="shared" si="100"/>
        <v>0</v>
      </c>
      <c r="L103" s="21">
        <v>0</v>
      </c>
      <c r="M103" s="21">
        <f t="shared" si="101"/>
        <v>0</v>
      </c>
      <c r="N103" s="35"/>
      <c r="O103" s="39"/>
      <c r="U103" s="41">
        <f t="shared" si="102"/>
        <v>0</v>
      </c>
      <c r="W103" s="41">
        <f t="shared" si="103"/>
        <v>0</v>
      </c>
      <c r="X103" s="41">
        <f t="shared" si="104"/>
        <v>0</v>
      </c>
      <c r="Y103" s="41">
        <f t="shared" si="105"/>
        <v>0</v>
      </c>
      <c r="Z103" s="41">
        <f t="shared" si="106"/>
        <v>0</v>
      </c>
      <c r="AA103" s="41">
        <f t="shared" si="107"/>
        <v>0</v>
      </c>
      <c r="AB103" s="41">
        <f t="shared" si="108"/>
        <v>0</v>
      </c>
      <c r="AC103" s="41">
        <f t="shared" si="109"/>
        <v>0</v>
      </c>
      <c r="AD103" s="31"/>
      <c r="AE103" s="21">
        <f t="shared" si="110"/>
        <v>0</v>
      </c>
      <c r="AF103" s="21">
        <f t="shared" si="111"/>
        <v>0</v>
      </c>
      <c r="AG103" s="21">
        <f t="shared" si="112"/>
        <v>0</v>
      </c>
      <c r="AI103" s="41">
        <v>21</v>
      </c>
      <c r="AJ103" s="41">
        <f t="shared" si="113"/>
        <v>0</v>
      </c>
      <c r="AK103" s="41">
        <f t="shared" si="114"/>
        <v>0</v>
      </c>
      <c r="AL103" s="42" t="s">
        <v>13</v>
      </c>
      <c r="AQ103" s="41">
        <f t="shared" si="115"/>
        <v>0</v>
      </c>
      <c r="AR103" s="41">
        <f t="shared" si="116"/>
        <v>0</v>
      </c>
      <c r="AS103" s="41">
        <f t="shared" si="117"/>
        <v>0</v>
      </c>
      <c r="AT103" s="44" t="s">
        <v>2434</v>
      </c>
      <c r="AU103" s="44" t="s">
        <v>2480</v>
      </c>
      <c r="AV103" s="31" t="s">
        <v>2486</v>
      </c>
      <c r="AX103" s="41">
        <f t="shared" si="118"/>
        <v>0</v>
      </c>
      <c r="AY103" s="41">
        <f t="shared" si="119"/>
        <v>0</v>
      </c>
      <c r="AZ103" s="41">
        <v>0</v>
      </c>
      <c r="BA103" s="41">
        <f t="shared" si="120"/>
        <v>0</v>
      </c>
      <c r="BC103" s="21">
        <f t="shared" si="121"/>
        <v>0</v>
      </c>
      <c r="BD103" s="21">
        <f t="shared" si="122"/>
        <v>0</v>
      </c>
      <c r="BE103" s="21">
        <f t="shared" si="123"/>
        <v>0</v>
      </c>
      <c r="BF103" s="21" t="s">
        <v>2492</v>
      </c>
      <c r="BG103" s="41">
        <v>721</v>
      </c>
    </row>
    <row r="104" spans="1:59" x14ac:dyDescent="0.3">
      <c r="A104" s="4" t="s">
        <v>92</v>
      </c>
      <c r="B104" s="13"/>
      <c r="C104" s="13" t="s">
        <v>1087</v>
      </c>
      <c r="D104" s="101" t="s">
        <v>1721</v>
      </c>
      <c r="E104" s="102"/>
      <c r="F104" s="13" t="s">
        <v>2385</v>
      </c>
      <c r="G104" s="21">
        <v>82</v>
      </c>
      <c r="H104" s="21">
        <v>0</v>
      </c>
      <c r="I104" s="21">
        <f t="shared" si="98"/>
        <v>0</v>
      </c>
      <c r="J104" s="21">
        <f t="shared" si="99"/>
        <v>0</v>
      </c>
      <c r="K104" s="21">
        <f t="shared" si="100"/>
        <v>0</v>
      </c>
      <c r="L104" s="21">
        <v>0</v>
      </c>
      <c r="M104" s="21">
        <f t="shared" si="101"/>
        <v>0</v>
      </c>
      <c r="N104" s="35"/>
      <c r="O104" s="39"/>
      <c r="U104" s="41">
        <f t="shared" si="102"/>
        <v>0</v>
      </c>
      <c r="W104" s="41">
        <f t="shared" si="103"/>
        <v>0</v>
      </c>
      <c r="X104" s="41">
        <f t="shared" si="104"/>
        <v>0</v>
      </c>
      <c r="Y104" s="41">
        <f t="shared" si="105"/>
        <v>0</v>
      </c>
      <c r="Z104" s="41">
        <f t="shared" si="106"/>
        <v>0</v>
      </c>
      <c r="AA104" s="41">
        <f t="shared" si="107"/>
        <v>0</v>
      </c>
      <c r="AB104" s="41">
        <f t="shared" si="108"/>
        <v>0</v>
      </c>
      <c r="AC104" s="41">
        <f t="shared" si="109"/>
        <v>0</v>
      </c>
      <c r="AD104" s="31"/>
      <c r="AE104" s="21">
        <f t="shared" si="110"/>
        <v>0</v>
      </c>
      <c r="AF104" s="21">
        <f t="shared" si="111"/>
        <v>0</v>
      </c>
      <c r="AG104" s="21">
        <f t="shared" si="112"/>
        <v>0</v>
      </c>
      <c r="AI104" s="41">
        <v>21</v>
      </c>
      <c r="AJ104" s="41">
        <f t="shared" si="113"/>
        <v>0</v>
      </c>
      <c r="AK104" s="41">
        <f t="shared" si="114"/>
        <v>0</v>
      </c>
      <c r="AL104" s="42" t="s">
        <v>13</v>
      </c>
      <c r="AQ104" s="41">
        <f t="shared" si="115"/>
        <v>0</v>
      </c>
      <c r="AR104" s="41">
        <f t="shared" si="116"/>
        <v>0</v>
      </c>
      <c r="AS104" s="41">
        <f t="shared" si="117"/>
        <v>0</v>
      </c>
      <c r="AT104" s="44" t="s">
        <v>2434</v>
      </c>
      <c r="AU104" s="44" t="s">
        <v>2480</v>
      </c>
      <c r="AV104" s="31" t="s">
        <v>2486</v>
      </c>
      <c r="AX104" s="41">
        <f t="shared" si="118"/>
        <v>0</v>
      </c>
      <c r="AY104" s="41">
        <f t="shared" si="119"/>
        <v>0</v>
      </c>
      <c r="AZ104" s="41">
        <v>0</v>
      </c>
      <c r="BA104" s="41">
        <f t="shared" si="120"/>
        <v>0</v>
      </c>
      <c r="BC104" s="21">
        <f t="shared" si="121"/>
        <v>0</v>
      </c>
      <c r="BD104" s="21">
        <f t="shared" si="122"/>
        <v>0</v>
      </c>
      <c r="BE104" s="21">
        <f t="shared" si="123"/>
        <v>0</v>
      </c>
      <c r="BF104" s="21" t="s">
        <v>2492</v>
      </c>
      <c r="BG104" s="41">
        <v>721</v>
      </c>
    </row>
    <row r="105" spans="1:59" x14ac:dyDescent="0.3">
      <c r="A105" s="4" t="s">
        <v>93</v>
      </c>
      <c r="B105" s="13"/>
      <c r="C105" s="13" t="s">
        <v>1087</v>
      </c>
      <c r="D105" s="101" t="s">
        <v>1722</v>
      </c>
      <c r="E105" s="102"/>
      <c r="F105" s="13" t="s">
        <v>2385</v>
      </c>
      <c r="G105" s="21">
        <v>124</v>
      </c>
      <c r="H105" s="21">
        <v>0</v>
      </c>
      <c r="I105" s="21">
        <f t="shared" si="98"/>
        <v>0</v>
      </c>
      <c r="J105" s="21">
        <f t="shared" si="99"/>
        <v>0</v>
      </c>
      <c r="K105" s="21">
        <f t="shared" si="100"/>
        <v>0</v>
      </c>
      <c r="L105" s="21">
        <v>0</v>
      </c>
      <c r="M105" s="21">
        <f t="shared" si="101"/>
        <v>0</v>
      </c>
      <c r="N105" s="35"/>
      <c r="O105" s="39"/>
      <c r="U105" s="41">
        <f t="shared" si="102"/>
        <v>0</v>
      </c>
      <c r="W105" s="41">
        <f t="shared" si="103"/>
        <v>0</v>
      </c>
      <c r="X105" s="41">
        <f t="shared" si="104"/>
        <v>0</v>
      </c>
      <c r="Y105" s="41">
        <f t="shared" si="105"/>
        <v>0</v>
      </c>
      <c r="Z105" s="41">
        <f t="shared" si="106"/>
        <v>0</v>
      </c>
      <c r="AA105" s="41">
        <f t="shared" si="107"/>
        <v>0</v>
      </c>
      <c r="AB105" s="41">
        <f t="shared" si="108"/>
        <v>0</v>
      </c>
      <c r="AC105" s="41">
        <f t="shared" si="109"/>
        <v>0</v>
      </c>
      <c r="AD105" s="31"/>
      <c r="AE105" s="21">
        <f t="shared" si="110"/>
        <v>0</v>
      </c>
      <c r="AF105" s="21">
        <f t="shared" si="111"/>
        <v>0</v>
      </c>
      <c r="AG105" s="21">
        <f t="shared" si="112"/>
        <v>0</v>
      </c>
      <c r="AI105" s="41">
        <v>21</v>
      </c>
      <c r="AJ105" s="41">
        <f t="shared" si="113"/>
        <v>0</v>
      </c>
      <c r="AK105" s="41">
        <f t="shared" si="114"/>
        <v>0</v>
      </c>
      <c r="AL105" s="42" t="s">
        <v>13</v>
      </c>
      <c r="AQ105" s="41">
        <f t="shared" si="115"/>
        <v>0</v>
      </c>
      <c r="AR105" s="41">
        <f t="shared" si="116"/>
        <v>0</v>
      </c>
      <c r="AS105" s="41">
        <f t="shared" si="117"/>
        <v>0</v>
      </c>
      <c r="AT105" s="44" t="s">
        <v>2434</v>
      </c>
      <c r="AU105" s="44" t="s">
        <v>2480</v>
      </c>
      <c r="AV105" s="31" t="s">
        <v>2486</v>
      </c>
      <c r="AX105" s="41">
        <f t="shared" si="118"/>
        <v>0</v>
      </c>
      <c r="AY105" s="41">
        <f t="shared" si="119"/>
        <v>0</v>
      </c>
      <c r="AZ105" s="41">
        <v>0</v>
      </c>
      <c r="BA105" s="41">
        <f t="shared" si="120"/>
        <v>0</v>
      </c>
      <c r="BC105" s="21">
        <f t="shared" si="121"/>
        <v>0</v>
      </c>
      <c r="BD105" s="21">
        <f t="shared" si="122"/>
        <v>0</v>
      </c>
      <c r="BE105" s="21">
        <f t="shared" si="123"/>
        <v>0</v>
      </c>
      <c r="BF105" s="21" t="s">
        <v>2492</v>
      </c>
      <c r="BG105" s="41">
        <v>721</v>
      </c>
    </row>
    <row r="106" spans="1:59" x14ac:dyDescent="0.3">
      <c r="A106" s="4" t="s">
        <v>94</v>
      </c>
      <c r="B106" s="13"/>
      <c r="C106" s="13" t="s">
        <v>1087</v>
      </c>
      <c r="D106" s="101" t="s">
        <v>1723</v>
      </c>
      <c r="E106" s="102"/>
      <c r="F106" s="13" t="s">
        <v>2385</v>
      </c>
      <c r="G106" s="21">
        <v>22</v>
      </c>
      <c r="H106" s="21">
        <v>0</v>
      </c>
      <c r="I106" s="21">
        <f t="shared" si="98"/>
        <v>0</v>
      </c>
      <c r="J106" s="21">
        <f t="shared" si="99"/>
        <v>0</v>
      </c>
      <c r="K106" s="21">
        <f t="shared" si="100"/>
        <v>0</v>
      </c>
      <c r="L106" s="21">
        <v>0</v>
      </c>
      <c r="M106" s="21">
        <f t="shared" si="101"/>
        <v>0</v>
      </c>
      <c r="N106" s="35"/>
      <c r="O106" s="39"/>
      <c r="U106" s="41">
        <f t="shared" si="102"/>
        <v>0</v>
      </c>
      <c r="W106" s="41">
        <f t="shared" si="103"/>
        <v>0</v>
      </c>
      <c r="X106" s="41">
        <f t="shared" si="104"/>
        <v>0</v>
      </c>
      <c r="Y106" s="41">
        <f t="shared" si="105"/>
        <v>0</v>
      </c>
      <c r="Z106" s="41">
        <f t="shared" si="106"/>
        <v>0</v>
      </c>
      <c r="AA106" s="41">
        <f t="shared" si="107"/>
        <v>0</v>
      </c>
      <c r="AB106" s="41">
        <f t="shared" si="108"/>
        <v>0</v>
      </c>
      <c r="AC106" s="41">
        <f t="shared" si="109"/>
        <v>0</v>
      </c>
      <c r="AD106" s="31"/>
      <c r="AE106" s="21">
        <f t="shared" si="110"/>
        <v>0</v>
      </c>
      <c r="AF106" s="21">
        <f t="shared" si="111"/>
        <v>0</v>
      </c>
      <c r="AG106" s="21">
        <f t="shared" si="112"/>
        <v>0</v>
      </c>
      <c r="AI106" s="41">
        <v>21</v>
      </c>
      <c r="AJ106" s="41">
        <f t="shared" si="113"/>
        <v>0</v>
      </c>
      <c r="AK106" s="41">
        <f t="shared" si="114"/>
        <v>0</v>
      </c>
      <c r="AL106" s="42" t="s">
        <v>13</v>
      </c>
      <c r="AQ106" s="41">
        <f t="shared" si="115"/>
        <v>0</v>
      </c>
      <c r="AR106" s="41">
        <f t="shared" si="116"/>
        <v>0</v>
      </c>
      <c r="AS106" s="41">
        <f t="shared" si="117"/>
        <v>0</v>
      </c>
      <c r="AT106" s="44" t="s">
        <v>2434</v>
      </c>
      <c r="AU106" s="44" t="s">
        <v>2480</v>
      </c>
      <c r="AV106" s="31" t="s">
        <v>2486</v>
      </c>
      <c r="AX106" s="41">
        <f t="shared" si="118"/>
        <v>0</v>
      </c>
      <c r="AY106" s="41">
        <f t="shared" si="119"/>
        <v>0</v>
      </c>
      <c r="AZ106" s="41">
        <v>0</v>
      </c>
      <c r="BA106" s="41">
        <f t="shared" si="120"/>
        <v>0</v>
      </c>
      <c r="BC106" s="21">
        <f t="shared" si="121"/>
        <v>0</v>
      </c>
      <c r="BD106" s="21">
        <f t="shared" si="122"/>
        <v>0</v>
      </c>
      <c r="BE106" s="21">
        <f t="shared" si="123"/>
        <v>0</v>
      </c>
      <c r="BF106" s="21" t="s">
        <v>2492</v>
      </c>
      <c r="BG106" s="41">
        <v>721</v>
      </c>
    </row>
    <row r="107" spans="1:59" x14ac:dyDescent="0.3">
      <c r="A107" s="4" t="s">
        <v>95</v>
      </c>
      <c r="B107" s="13"/>
      <c r="C107" s="13" t="s">
        <v>1087</v>
      </c>
      <c r="D107" s="101" t="s">
        <v>1724</v>
      </c>
      <c r="E107" s="102"/>
      <c r="F107" s="13" t="s">
        <v>2385</v>
      </c>
      <c r="G107" s="21">
        <v>35</v>
      </c>
      <c r="H107" s="21">
        <v>0</v>
      </c>
      <c r="I107" s="21">
        <f t="shared" si="98"/>
        <v>0</v>
      </c>
      <c r="J107" s="21">
        <f t="shared" si="99"/>
        <v>0</v>
      </c>
      <c r="K107" s="21">
        <f t="shared" si="100"/>
        <v>0</v>
      </c>
      <c r="L107" s="21">
        <v>0</v>
      </c>
      <c r="M107" s="21">
        <f t="shared" si="101"/>
        <v>0</v>
      </c>
      <c r="N107" s="35"/>
      <c r="O107" s="39"/>
      <c r="U107" s="41">
        <f t="shared" si="102"/>
        <v>0</v>
      </c>
      <c r="W107" s="41">
        <f t="shared" si="103"/>
        <v>0</v>
      </c>
      <c r="X107" s="41">
        <f t="shared" si="104"/>
        <v>0</v>
      </c>
      <c r="Y107" s="41">
        <f t="shared" si="105"/>
        <v>0</v>
      </c>
      <c r="Z107" s="41">
        <f t="shared" si="106"/>
        <v>0</v>
      </c>
      <c r="AA107" s="41">
        <f t="shared" si="107"/>
        <v>0</v>
      </c>
      <c r="AB107" s="41">
        <f t="shared" si="108"/>
        <v>0</v>
      </c>
      <c r="AC107" s="41">
        <f t="shared" si="109"/>
        <v>0</v>
      </c>
      <c r="AD107" s="31"/>
      <c r="AE107" s="21">
        <f t="shared" si="110"/>
        <v>0</v>
      </c>
      <c r="AF107" s="21">
        <f t="shared" si="111"/>
        <v>0</v>
      </c>
      <c r="AG107" s="21">
        <f t="shared" si="112"/>
        <v>0</v>
      </c>
      <c r="AI107" s="41">
        <v>21</v>
      </c>
      <c r="AJ107" s="41">
        <f t="shared" si="113"/>
        <v>0</v>
      </c>
      <c r="AK107" s="41">
        <f t="shared" si="114"/>
        <v>0</v>
      </c>
      <c r="AL107" s="42" t="s">
        <v>13</v>
      </c>
      <c r="AQ107" s="41">
        <f t="shared" si="115"/>
        <v>0</v>
      </c>
      <c r="AR107" s="41">
        <f t="shared" si="116"/>
        <v>0</v>
      </c>
      <c r="AS107" s="41">
        <f t="shared" si="117"/>
        <v>0</v>
      </c>
      <c r="AT107" s="44" t="s">
        <v>2434</v>
      </c>
      <c r="AU107" s="44" t="s">
        <v>2480</v>
      </c>
      <c r="AV107" s="31" t="s">
        <v>2486</v>
      </c>
      <c r="AX107" s="41">
        <f t="shared" si="118"/>
        <v>0</v>
      </c>
      <c r="AY107" s="41">
        <f t="shared" si="119"/>
        <v>0</v>
      </c>
      <c r="AZ107" s="41">
        <v>0</v>
      </c>
      <c r="BA107" s="41">
        <f t="shared" si="120"/>
        <v>0</v>
      </c>
      <c r="BC107" s="21">
        <f t="shared" si="121"/>
        <v>0</v>
      </c>
      <c r="BD107" s="21">
        <f t="shared" si="122"/>
        <v>0</v>
      </c>
      <c r="BE107" s="21">
        <f t="shared" si="123"/>
        <v>0</v>
      </c>
      <c r="BF107" s="21" t="s">
        <v>2492</v>
      </c>
      <c r="BG107" s="41">
        <v>721</v>
      </c>
    </row>
    <row r="108" spans="1:59" x14ac:dyDescent="0.3">
      <c r="A108" s="4" t="s">
        <v>96</v>
      </c>
      <c r="B108" s="13"/>
      <c r="C108" s="13" t="s">
        <v>1087</v>
      </c>
      <c r="D108" s="101" t="s">
        <v>1725</v>
      </c>
      <c r="E108" s="102"/>
      <c r="F108" s="13" t="s">
        <v>2385</v>
      </c>
      <c r="G108" s="21">
        <v>10</v>
      </c>
      <c r="H108" s="21">
        <v>0</v>
      </c>
      <c r="I108" s="21">
        <f t="shared" si="98"/>
        <v>0</v>
      </c>
      <c r="J108" s="21">
        <f t="shared" si="99"/>
        <v>0</v>
      </c>
      <c r="K108" s="21">
        <f t="shared" si="100"/>
        <v>0</v>
      </c>
      <c r="L108" s="21">
        <v>0</v>
      </c>
      <c r="M108" s="21">
        <f t="shared" si="101"/>
        <v>0</v>
      </c>
      <c r="N108" s="35"/>
      <c r="O108" s="39"/>
      <c r="U108" s="41">
        <f t="shared" si="102"/>
        <v>0</v>
      </c>
      <c r="W108" s="41">
        <f t="shared" si="103"/>
        <v>0</v>
      </c>
      <c r="X108" s="41">
        <f t="shared" si="104"/>
        <v>0</v>
      </c>
      <c r="Y108" s="41">
        <f t="shared" si="105"/>
        <v>0</v>
      </c>
      <c r="Z108" s="41">
        <f t="shared" si="106"/>
        <v>0</v>
      </c>
      <c r="AA108" s="41">
        <f t="shared" si="107"/>
        <v>0</v>
      </c>
      <c r="AB108" s="41">
        <f t="shared" si="108"/>
        <v>0</v>
      </c>
      <c r="AC108" s="41">
        <f t="shared" si="109"/>
        <v>0</v>
      </c>
      <c r="AD108" s="31"/>
      <c r="AE108" s="21">
        <f t="shared" si="110"/>
        <v>0</v>
      </c>
      <c r="AF108" s="21">
        <f t="shared" si="111"/>
        <v>0</v>
      </c>
      <c r="AG108" s="21">
        <f t="shared" si="112"/>
        <v>0</v>
      </c>
      <c r="AI108" s="41">
        <v>21</v>
      </c>
      <c r="AJ108" s="41">
        <f t="shared" si="113"/>
        <v>0</v>
      </c>
      <c r="AK108" s="41">
        <f t="shared" si="114"/>
        <v>0</v>
      </c>
      <c r="AL108" s="42" t="s">
        <v>13</v>
      </c>
      <c r="AQ108" s="41">
        <f t="shared" si="115"/>
        <v>0</v>
      </c>
      <c r="AR108" s="41">
        <f t="shared" si="116"/>
        <v>0</v>
      </c>
      <c r="AS108" s="41">
        <f t="shared" si="117"/>
        <v>0</v>
      </c>
      <c r="AT108" s="44" t="s">
        <v>2434</v>
      </c>
      <c r="AU108" s="44" t="s">
        <v>2480</v>
      </c>
      <c r="AV108" s="31" t="s">
        <v>2486</v>
      </c>
      <c r="AX108" s="41">
        <f t="shared" si="118"/>
        <v>0</v>
      </c>
      <c r="AY108" s="41">
        <f t="shared" si="119"/>
        <v>0</v>
      </c>
      <c r="AZ108" s="41">
        <v>0</v>
      </c>
      <c r="BA108" s="41">
        <f t="shared" si="120"/>
        <v>0</v>
      </c>
      <c r="BC108" s="21">
        <f t="shared" si="121"/>
        <v>0</v>
      </c>
      <c r="BD108" s="21">
        <f t="shared" si="122"/>
        <v>0</v>
      </c>
      <c r="BE108" s="21">
        <f t="shared" si="123"/>
        <v>0</v>
      </c>
      <c r="BF108" s="21" t="s">
        <v>2492</v>
      </c>
      <c r="BG108" s="41">
        <v>721</v>
      </c>
    </row>
    <row r="109" spans="1:59" x14ac:dyDescent="0.3">
      <c r="A109" s="4" t="s">
        <v>97</v>
      </c>
      <c r="B109" s="13"/>
      <c r="C109" s="13" t="s">
        <v>1087</v>
      </c>
      <c r="D109" s="101" t="s">
        <v>1726</v>
      </c>
      <c r="E109" s="102"/>
      <c r="F109" s="13" t="s">
        <v>2385</v>
      </c>
      <c r="G109" s="21">
        <v>273</v>
      </c>
      <c r="H109" s="21">
        <v>0</v>
      </c>
      <c r="I109" s="21">
        <f t="shared" si="98"/>
        <v>0</v>
      </c>
      <c r="J109" s="21">
        <f t="shared" si="99"/>
        <v>0</v>
      </c>
      <c r="K109" s="21">
        <f t="shared" si="100"/>
        <v>0</v>
      </c>
      <c r="L109" s="21">
        <v>0</v>
      </c>
      <c r="M109" s="21">
        <f t="shared" si="101"/>
        <v>0</v>
      </c>
      <c r="N109" s="35"/>
      <c r="O109" s="39"/>
      <c r="U109" s="41">
        <f t="shared" si="102"/>
        <v>0</v>
      </c>
      <c r="W109" s="41">
        <f t="shared" si="103"/>
        <v>0</v>
      </c>
      <c r="X109" s="41">
        <f t="shared" si="104"/>
        <v>0</v>
      </c>
      <c r="Y109" s="41">
        <f t="shared" si="105"/>
        <v>0</v>
      </c>
      <c r="Z109" s="41">
        <f t="shared" si="106"/>
        <v>0</v>
      </c>
      <c r="AA109" s="41">
        <f t="shared" si="107"/>
        <v>0</v>
      </c>
      <c r="AB109" s="41">
        <f t="shared" si="108"/>
        <v>0</v>
      </c>
      <c r="AC109" s="41">
        <f t="shared" si="109"/>
        <v>0</v>
      </c>
      <c r="AD109" s="31"/>
      <c r="AE109" s="21">
        <f t="shared" si="110"/>
        <v>0</v>
      </c>
      <c r="AF109" s="21">
        <f t="shared" si="111"/>
        <v>0</v>
      </c>
      <c r="AG109" s="21">
        <f t="shared" si="112"/>
        <v>0</v>
      </c>
      <c r="AI109" s="41">
        <v>21</v>
      </c>
      <c r="AJ109" s="41">
        <f t="shared" si="113"/>
        <v>0</v>
      </c>
      <c r="AK109" s="41">
        <f t="shared" si="114"/>
        <v>0</v>
      </c>
      <c r="AL109" s="42" t="s">
        <v>13</v>
      </c>
      <c r="AQ109" s="41">
        <f t="shared" si="115"/>
        <v>0</v>
      </c>
      <c r="AR109" s="41">
        <f t="shared" si="116"/>
        <v>0</v>
      </c>
      <c r="AS109" s="41">
        <f t="shared" si="117"/>
        <v>0</v>
      </c>
      <c r="AT109" s="44" t="s">
        <v>2434</v>
      </c>
      <c r="AU109" s="44" t="s">
        <v>2480</v>
      </c>
      <c r="AV109" s="31" t="s">
        <v>2486</v>
      </c>
      <c r="AX109" s="41">
        <f t="shared" si="118"/>
        <v>0</v>
      </c>
      <c r="AY109" s="41">
        <f t="shared" si="119"/>
        <v>0</v>
      </c>
      <c r="AZ109" s="41">
        <v>0</v>
      </c>
      <c r="BA109" s="41">
        <f t="shared" si="120"/>
        <v>0</v>
      </c>
      <c r="BC109" s="21">
        <f t="shared" si="121"/>
        <v>0</v>
      </c>
      <c r="BD109" s="21">
        <f t="shared" si="122"/>
        <v>0</v>
      </c>
      <c r="BE109" s="21">
        <f t="shared" si="123"/>
        <v>0</v>
      </c>
      <c r="BF109" s="21" t="s">
        <v>2492</v>
      </c>
      <c r="BG109" s="41">
        <v>721</v>
      </c>
    </row>
    <row r="110" spans="1:59" x14ac:dyDescent="0.3">
      <c r="A110" s="4" t="s">
        <v>98</v>
      </c>
      <c r="B110" s="13"/>
      <c r="C110" s="13" t="s">
        <v>1087</v>
      </c>
      <c r="D110" s="101" t="s">
        <v>1727</v>
      </c>
      <c r="E110" s="102"/>
      <c r="F110" s="13" t="s">
        <v>2385</v>
      </c>
      <c r="G110" s="21">
        <v>82</v>
      </c>
      <c r="H110" s="21">
        <v>0</v>
      </c>
      <c r="I110" s="21">
        <f t="shared" si="98"/>
        <v>0</v>
      </c>
      <c r="J110" s="21">
        <f t="shared" si="99"/>
        <v>0</v>
      </c>
      <c r="K110" s="21">
        <f t="shared" si="100"/>
        <v>0</v>
      </c>
      <c r="L110" s="21">
        <v>0</v>
      </c>
      <c r="M110" s="21">
        <f t="shared" si="101"/>
        <v>0</v>
      </c>
      <c r="N110" s="35"/>
      <c r="O110" s="39"/>
      <c r="U110" s="41">
        <f t="shared" si="102"/>
        <v>0</v>
      </c>
      <c r="W110" s="41">
        <f t="shared" si="103"/>
        <v>0</v>
      </c>
      <c r="X110" s="41">
        <f t="shared" si="104"/>
        <v>0</v>
      </c>
      <c r="Y110" s="41">
        <f t="shared" si="105"/>
        <v>0</v>
      </c>
      <c r="Z110" s="41">
        <f t="shared" si="106"/>
        <v>0</v>
      </c>
      <c r="AA110" s="41">
        <f t="shared" si="107"/>
        <v>0</v>
      </c>
      <c r="AB110" s="41">
        <f t="shared" si="108"/>
        <v>0</v>
      </c>
      <c r="AC110" s="41">
        <f t="shared" si="109"/>
        <v>0</v>
      </c>
      <c r="AD110" s="31"/>
      <c r="AE110" s="21">
        <f t="shared" si="110"/>
        <v>0</v>
      </c>
      <c r="AF110" s="21">
        <f t="shared" si="111"/>
        <v>0</v>
      </c>
      <c r="AG110" s="21">
        <f t="shared" si="112"/>
        <v>0</v>
      </c>
      <c r="AI110" s="41">
        <v>21</v>
      </c>
      <c r="AJ110" s="41">
        <f t="shared" si="113"/>
        <v>0</v>
      </c>
      <c r="AK110" s="41">
        <f t="shared" si="114"/>
        <v>0</v>
      </c>
      <c r="AL110" s="42" t="s">
        <v>13</v>
      </c>
      <c r="AQ110" s="41">
        <f t="shared" si="115"/>
        <v>0</v>
      </c>
      <c r="AR110" s="41">
        <f t="shared" si="116"/>
        <v>0</v>
      </c>
      <c r="AS110" s="41">
        <f t="shared" si="117"/>
        <v>0</v>
      </c>
      <c r="AT110" s="44" t="s">
        <v>2434</v>
      </c>
      <c r="AU110" s="44" t="s">
        <v>2480</v>
      </c>
      <c r="AV110" s="31" t="s">
        <v>2486</v>
      </c>
      <c r="AX110" s="41">
        <f t="shared" si="118"/>
        <v>0</v>
      </c>
      <c r="AY110" s="41">
        <f t="shared" si="119"/>
        <v>0</v>
      </c>
      <c r="AZ110" s="41">
        <v>0</v>
      </c>
      <c r="BA110" s="41">
        <f t="shared" si="120"/>
        <v>0</v>
      </c>
      <c r="BC110" s="21">
        <f t="shared" si="121"/>
        <v>0</v>
      </c>
      <c r="BD110" s="21">
        <f t="shared" si="122"/>
        <v>0</v>
      </c>
      <c r="BE110" s="21">
        <f t="shared" si="123"/>
        <v>0</v>
      </c>
      <c r="BF110" s="21" t="s">
        <v>2492</v>
      </c>
      <c r="BG110" s="41">
        <v>721</v>
      </c>
    </row>
    <row r="111" spans="1:59" x14ac:dyDescent="0.3">
      <c r="A111" s="4" t="s">
        <v>99</v>
      </c>
      <c r="B111" s="13"/>
      <c r="C111" s="13" t="s">
        <v>1087</v>
      </c>
      <c r="D111" s="101" t="s">
        <v>1728</v>
      </c>
      <c r="E111" s="102"/>
      <c r="F111" s="13" t="s">
        <v>2385</v>
      </c>
      <c r="G111" s="21">
        <v>124</v>
      </c>
      <c r="H111" s="21">
        <v>0</v>
      </c>
      <c r="I111" s="21">
        <f t="shared" si="98"/>
        <v>0</v>
      </c>
      <c r="J111" s="21">
        <f t="shared" si="99"/>
        <v>0</v>
      </c>
      <c r="K111" s="21">
        <f t="shared" si="100"/>
        <v>0</v>
      </c>
      <c r="L111" s="21">
        <v>0</v>
      </c>
      <c r="M111" s="21">
        <f t="shared" si="101"/>
        <v>0</v>
      </c>
      <c r="N111" s="35"/>
      <c r="O111" s="39"/>
      <c r="U111" s="41">
        <f t="shared" si="102"/>
        <v>0</v>
      </c>
      <c r="W111" s="41">
        <f t="shared" si="103"/>
        <v>0</v>
      </c>
      <c r="X111" s="41">
        <f t="shared" si="104"/>
        <v>0</v>
      </c>
      <c r="Y111" s="41">
        <f t="shared" si="105"/>
        <v>0</v>
      </c>
      <c r="Z111" s="41">
        <f t="shared" si="106"/>
        <v>0</v>
      </c>
      <c r="AA111" s="41">
        <f t="shared" si="107"/>
        <v>0</v>
      </c>
      <c r="AB111" s="41">
        <f t="shared" si="108"/>
        <v>0</v>
      </c>
      <c r="AC111" s="41">
        <f t="shared" si="109"/>
        <v>0</v>
      </c>
      <c r="AD111" s="31"/>
      <c r="AE111" s="21">
        <f t="shared" si="110"/>
        <v>0</v>
      </c>
      <c r="AF111" s="21">
        <f t="shared" si="111"/>
        <v>0</v>
      </c>
      <c r="AG111" s="21">
        <f t="shared" si="112"/>
        <v>0</v>
      </c>
      <c r="AI111" s="41">
        <v>21</v>
      </c>
      <c r="AJ111" s="41">
        <f t="shared" si="113"/>
        <v>0</v>
      </c>
      <c r="AK111" s="41">
        <f t="shared" si="114"/>
        <v>0</v>
      </c>
      <c r="AL111" s="42" t="s">
        <v>13</v>
      </c>
      <c r="AQ111" s="41">
        <f t="shared" si="115"/>
        <v>0</v>
      </c>
      <c r="AR111" s="41">
        <f t="shared" si="116"/>
        <v>0</v>
      </c>
      <c r="AS111" s="41">
        <f t="shared" si="117"/>
        <v>0</v>
      </c>
      <c r="AT111" s="44" t="s">
        <v>2434</v>
      </c>
      <c r="AU111" s="44" t="s">
        <v>2480</v>
      </c>
      <c r="AV111" s="31" t="s">
        <v>2486</v>
      </c>
      <c r="AX111" s="41">
        <f t="shared" si="118"/>
        <v>0</v>
      </c>
      <c r="AY111" s="41">
        <f t="shared" si="119"/>
        <v>0</v>
      </c>
      <c r="AZ111" s="41">
        <v>0</v>
      </c>
      <c r="BA111" s="41">
        <f t="shared" si="120"/>
        <v>0</v>
      </c>
      <c r="BC111" s="21">
        <f t="shared" si="121"/>
        <v>0</v>
      </c>
      <c r="BD111" s="21">
        <f t="shared" si="122"/>
        <v>0</v>
      </c>
      <c r="BE111" s="21">
        <f t="shared" si="123"/>
        <v>0</v>
      </c>
      <c r="BF111" s="21" t="s">
        <v>2492</v>
      </c>
      <c r="BG111" s="41">
        <v>721</v>
      </c>
    </row>
    <row r="112" spans="1:59" x14ac:dyDescent="0.3">
      <c r="A112" s="4" t="s">
        <v>100</v>
      </c>
      <c r="B112" s="13"/>
      <c r="C112" s="13" t="s">
        <v>1087</v>
      </c>
      <c r="D112" s="101" t="s">
        <v>1729</v>
      </c>
      <c r="E112" s="102"/>
      <c r="F112" s="13" t="s">
        <v>2385</v>
      </c>
      <c r="G112" s="21">
        <v>22</v>
      </c>
      <c r="H112" s="21">
        <v>0</v>
      </c>
      <c r="I112" s="21">
        <f t="shared" si="98"/>
        <v>0</v>
      </c>
      <c r="J112" s="21">
        <f t="shared" si="99"/>
        <v>0</v>
      </c>
      <c r="K112" s="21">
        <f t="shared" si="100"/>
        <v>0</v>
      </c>
      <c r="L112" s="21">
        <v>0</v>
      </c>
      <c r="M112" s="21">
        <f t="shared" si="101"/>
        <v>0</v>
      </c>
      <c r="N112" s="35"/>
      <c r="O112" s="39"/>
      <c r="U112" s="41">
        <f t="shared" si="102"/>
        <v>0</v>
      </c>
      <c r="W112" s="41">
        <f t="shared" si="103"/>
        <v>0</v>
      </c>
      <c r="X112" s="41">
        <f t="shared" si="104"/>
        <v>0</v>
      </c>
      <c r="Y112" s="41">
        <f t="shared" si="105"/>
        <v>0</v>
      </c>
      <c r="Z112" s="41">
        <f t="shared" si="106"/>
        <v>0</v>
      </c>
      <c r="AA112" s="41">
        <f t="shared" si="107"/>
        <v>0</v>
      </c>
      <c r="AB112" s="41">
        <f t="shared" si="108"/>
        <v>0</v>
      </c>
      <c r="AC112" s="41">
        <f t="shared" si="109"/>
        <v>0</v>
      </c>
      <c r="AD112" s="31"/>
      <c r="AE112" s="21">
        <f t="shared" si="110"/>
        <v>0</v>
      </c>
      <c r="AF112" s="21">
        <f t="shared" si="111"/>
        <v>0</v>
      </c>
      <c r="AG112" s="21">
        <f t="shared" si="112"/>
        <v>0</v>
      </c>
      <c r="AI112" s="41">
        <v>21</v>
      </c>
      <c r="AJ112" s="41">
        <f t="shared" si="113"/>
        <v>0</v>
      </c>
      <c r="AK112" s="41">
        <f t="shared" si="114"/>
        <v>0</v>
      </c>
      <c r="AL112" s="42" t="s">
        <v>13</v>
      </c>
      <c r="AQ112" s="41">
        <f t="shared" si="115"/>
        <v>0</v>
      </c>
      <c r="AR112" s="41">
        <f t="shared" si="116"/>
        <v>0</v>
      </c>
      <c r="AS112" s="41">
        <f t="shared" si="117"/>
        <v>0</v>
      </c>
      <c r="AT112" s="44" t="s">
        <v>2434</v>
      </c>
      <c r="AU112" s="44" t="s">
        <v>2480</v>
      </c>
      <c r="AV112" s="31" t="s">
        <v>2486</v>
      </c>
      <c r="AX112" s="41">
        <f t="shared" si="118"/>
        <v>0</v>
      </c>
      <c r="AY112" s="41">
        <f t="shared" si="119"/>
        <v>0</v>
      </c>
      <c r="AZ112" s="41">
        <v>0</v>
      </c>
      <c r="BA112" s="41">
        <f t="shared" si="120"/>
        <v>0</v>
      </c>
      <c r="BC112" s="21">
        <f t="shared" si="121"/>
        <v>0</v>
      </c>
      <c r="BD112" s="21">
        <f t="shared" si="122"/>
        <v>0</v>
      </c>
      <c r="BE112" s="21">
        <f t="shared" si="123"/>
        <v>0</v>
      </c>
      <c r="BF112" s="21" t="s">
        <v>2492</v>
      </c>
      <c r="BG112" s="41">
        <v>721</v>
      </c>
    </row>
    <row r="113" spans="1:59" x14ac:dyDescent="0.3">
      <c r="A113" s="4" t="s">
        <v>101</v>
      </c>
      <c r="B113" s="13"/>
      <c r="C113" s="13" t="s">
        <v>1087</v>
      </c>
      <c r="D113" s="101" t="s">
        <v>1730</v>
      </c>
      <c r="E113" s="102"/>
      <c r="F113" s="13" t="s">
        <v>2385</v>
      </c>
      <c r="G113" s="21">
        <v>35</v>
      </c>
      <c r="H113" s="21">
        <v>0</v>
      </c>
      <c r="I113" s="21">
        <f t="shared" si="98"/>
        <v>0</v>
      </c>
      <c r="J113" s="21">
        <f t="shared" si="99"/>
        <v>0</v>
      </c>
      <c r="K113" s="21">
        <f t="shared" si="100"/>
        <v>0</v>
      </c>
      <c r="L113" s="21">
        <v>0</v>
      </c>
      <c r="M113" s="21">
        <f t="shared" si="101"/>
        <v>0</v>
      </c>
      <c r="N113" s="35"/>
      <c r="O113" s="39"/>
      <c r="U113" s="41">
        <f t="shared" si="102"/>
        <v>0</v>
      </c>
      <c r="W113" s="41">
        <f t="shared" si="103"/>
        <v>0</v>
      </c>
      <c r="X113" s="41">
        <f t="shared" si="104"/>
        <v>0</v>
      </c>
      <c r="Y113" s="41">
        <f t="shared" si="105"/>
        <v>0</v>
      </c>
      <c r="Z113" s="41">
        <f t="shared" si="106"/>
        <v>0</v>
      </c>
      <c r="AA113" s="41">
        <f t="shared" si="107"/>
        <v>0</v>
      </c>
      <c r="AB113" s="41">
        <f t="shared" si="108"/>
        <v>0</v>
      </c>
      <c r="AC113" s="41">
        <f t="shared" si="109"/>
        <v>0</v>
      </c>
      <c r="AD113" s="31"/>
      <c r="AE113" s="21">
        <f t="shared" si="110"/>
        <v>0</v>
      </c>
      <c r="AF113" s="21">
        <f t="shared" si="111"/>
        <v>0</v>
      </c>
      <c r="AG113" s="21">
        <f t="shared" si="112"/>
        <v>0</v>
      </c>
      <c r="AI113" s="41">
        <v>21</v>
      </c>
      <c r="AJ113" s="41">
        <f t="shared" si="113"/>
        <v>0</v>
      </c>
      <c r="AK113" s="41">
        <f t="shared" si="114"/>
        <v>0</v>
      </c>
      <c r="AL113" s="42" t="s">
        <v>13</v>
      </c>
      <c r="AQ113" s="41">
        <f t="shared" si="115"/>
        <v>0</v>
      </c>
      <c r="AR113" s="41">
        <f t="shared" si="116"/>
        <v>0</v>
      </c>
      <c r="AS113" s="41">
        <f t="shared" si="117"/>
        <v>0</v>
      </c>
      <c r="AT113" s="44" t="s">
        <v>2434</v>
      </c>
      <c r="AU113" s="44" t="s">
        <v>2480</v>
      </c>
      <c r="AV113" s="31" t="s">
        <v>2486</v>
      </c>
      <c r="AX113" s="41">
        <f t="shared" si="118"/>
        <v>0</v>
      </c>
      <c r="AY113" s="41">
        <f t="shared" si="119"/>
        <v>0</v>
      </c>
      <c r="AZ113" s="41">
        <v>0</v>
      </c>
      <c r="BA113" s="41">
        <f t="shared" si="120"/>
        <v>0</v>
      </c>
      <c r="BC113" s="21">
        <f t="shared" si="121"/>
        <v>0</v>
      </c>
      <c r="BD113" s="21">
        <f t="shared" si="122"/>
        <v>0</v>
      </c>
      <c r="BE113" s="21">
        <f t="shared" si="123"/>
        <v>0</v>
      </c>
      <c r="BF113" s="21" t="s">
        <v>2492</v>
      </c>
      <c r="BG113" s="41">
        <v>721</v>
      </c>
    </row>
    <row r="114" spans="1:59" x14ac:dyDescent="0.3">
      <c r="A114" s="4" t="s">
        <v>102</v>
      </c>
      <c r="B114" s="13"/>
      <c r="C114" s="13" t="s">
        <v>1087</v>
      </c>
      <c r="D114" s="101" t="s">
        <v>1725</v>
      </c>
      <c r="E114" s="102"/>
      <c r="F114" s="13" t="s">
        <v>2385</v>
      </c>
      <c r="G114" s="21">
        <v>10</v>
      </c>
      <c r="H114" s="21">
        <v>0</v>
      </c>
      <c r="I114" s="21">
        <f t="shared" si="98"/>
        <v>0</v>
      </c>
      <c r="J114" s="21">
        <f t="shared" si="99"/>
        <v>0</v>
      </c>
      <c r="K114" s="21">
        <f t="shared" si="100"/>
        <v>0</v>
      </c>
      <c r="L114" s="21">
        <v>0</v>
      </c>
      <c r="M114" s="21">
        <f t="shared" si="101"/>
        <v>0</v>
      </c>
      <c r="N114" s="35"/>
      <c r="O114" s="39"/>
      <c r="U114" s="41">
        <f t="shared" si="102"/>
        <v>0</v>
      </c>
      <c r="W114" s="41">
        <f t="shared" si="103"/>
        <v>0</v>
      </c>
      <c r="X114" s="41">
        <f t="shared" si="104"/>
        <v>0</v>
      </c>
      <c r="Y114" s="41">
        <f t="shared" si="105"/>
        <v>0</v>
      </c>
      <c r="Z114" s="41">
        <f t="shared" si="106"/>
        <v>0</v>
      </c>
      <c r="AA114" s="41">
        <f t="shared" si="107"/>
        <v>0</v>
      </c>
      <c r="AB114" s="41">
        <f t="shared" si="108"/>
        <v>0</v>
      </c>
      <c r="AC114" s="41">
        <f t="shared" si="109"/>
        <v>0</v>
      </c>
      <c r="AD114" s="31"/>
      <c r="AE114" s="21">
        <f t="shared" si="110"/>
        <v>0</v>
      </c>
      <c r="AF114" s="21">
        <f t="shared" si="111"/>
        <v>0</v>
      </c>
      <c r="AG114" s="21">
        <f t="shared" si="112"/>
        <v>0</v>
      </c>
      <c r="AI114" s="41">
        <v>21</v>
      </c>
      <c r="AJ114" s="41">
        <f t="shared" si="113"/>
        <v>0</v>
      </c>
      <c r="AK114" s="41">
        <f t="shared" si="114"/>
        <v>0</v>
      </c>
      <c r="AL114" s="42" t="s">
        <v>13</v>
      </c>
      <c r="AQ114" s="41">
        <f t="shared" si="115"/>
        <v>0</v>
      </c>
      <c r="AR114" s="41">
        <f t="shared" si="116"/>
        <v>0</v>
      </c>
      <c r="AS114" s="41">
        <f t="shared" si="117"/>
        <v>0</v>
      </c>
      <c r="AT114" s="44" t="s">
        <v>2434</v>
      </c>
      <c r="AU114" s="44" t="s">
        <v>2480</v>
      </c>
      <c r="AV114" s="31" t="s">
        <v>2486</v>
      </c>
      <c r="AX114" s="41">
        <f t="shared" si="118"/>
        <v>0</v>
      </c>
      <c r="AY114" s="41">
        <f t="shared" si="119"/>
        <v>0</v>
      </c>
      <c r="AZ114" s="41">
        <v>0</v>
      </c>
      <c r="BA114" s="41">
        <f t="shared" si="120"/>
        <v>0</v>
      </c>
      <c r="BC114" s="21">
        <f t="shared" si="121"/>
        <v>0</v>
      </c>
      <c r="BD114" s="21">
        <f t="shared" si="122"/>
        <v>0</v>
      </c>
      <c r="BE114" s="21">
        <f t="shared" si="123"/>
        <v>0</v>
      </c>
      <c r="BF114" s="21" t="s">
        <v>2492</v>
      </c>
      <c r="BG114" s="41">
        <v>721</v>
      </c>
    </row>
    <row r="115" spans="1:59" x14ac:dyDescent="0.3">
      <c r="A115" s="4" t="s">
        <v>103</v>
      </c>
      <c r="B115" s="13"/>
      <c r="C115" s="13" t="s">
        <v>1087</v>
      </c>
      <c r="D115" s="101" t="s">
        <v>1731</v>
      </c>
      <c r="E115" s="102"/>
      <c r="F115" s="13" t="s">
        <v>2385</v>
      </c>
      <c r="G115" s="21">
        <v>46</v>
      </c>
      <c r="H115" s="21">
        <v>0</v>
      </c>
      <c r="I115" s="21">
        <f t="shared" si="98"/>
        <v>0</v>
      </c>
      <c r="J115" s="21">
        <f t="shared" si="99"/>
        <v>0</v>
      </c>
      <c r="K115" s="21">
        <f t="shared" si="100"/>
        <v>0</v>
      </c>
      <c r="L115" s="21">
        <v>0</v>
      </c>
      <c r="M115" s="21">
        <f t="shared" si="101"/>
        <v>0</v>
      </c>
      <c r="N115" s="35"/>
      <c r="O115" s="39"/>
      <c r="U115" s="41">
        <f t="shared" si="102"/>
        <v>0</v>
      </c>
      <c r="W115" s="41">
        <f t="shared" si="103"/>
        <v>0</v>
      </c>
      <c r="X115" s="41">
        <f t="shared" si="104"/>
        <v>0</v>
      </c>
      <c r="Y115" s="41">
        <f t="shared" si="105"/>
        <v>0</v>
      </c>
      <c r="Z115" s="41">
        <f t="shared" si="106"/>
        <v>0</v>
      </c>
      <c r="AA115" s="41">
        <f t="shared" si="107"/>
        <v>0</v>
      </c>
      <c r="AB115" s="41">
        <f t="shared" si="108"/>
        <v>0</v>
      </c>
      <c r="AC115" s="41">
        <f t="shared" si="109"/>
        <v>0</v>
      </c>
      <c r="AD115" s="31"/>
      <c r="AE115" s="21">
        <f t="shared" si="110"/>
        <v>0</v>
      </c>
      <c r="AF115" s="21">
        <f t="shared" si="111"/>
        <v>0</v>
      </c>
      <c r="AG115" s="21">
        <f t="shared" si="112"/>
        <v>0</v>
      </c>
      <c r="AI115" s="41">
        <v>21</v>
      </c>
      <c r="AJ115" s="41">
        <f t="shared" si="113"/>
        <v>0</v>
      </c>
      <c r="AK115" s="41">
        <f t="shared" si="114"/>
        <v>0</v>
      </c>
      <c r="AL115" s="42" t="s">
        <v>13</v>
      </c>
      <c r="AQ115" s="41">
        <f t="shared" si="115"/>
        <v>0</v>
      </c>
      <c r="AR115" s="41">
        <f t="shared" si="116"/>
        <v>0</v>
      </c>
      <c r="AS115" s="41">
        <f t="shared" si="117"/>
        <v>0</v>
      </c>
      <c r="AT115" s="44" t="s">
        <v>2434</v>
      </c>
      <c r="AU115" s="44" t="s">
        <v>2480</v>
      </c>
      <c r="AV115" s="31" t="s">
        <v>2486</v>
      </c>
      <c r="AX115" s="41">
        <f t="shared" si="118"/>
        <v>0</v>
      </c>
      <c r="AY115" s="41">
        <f t="shared" si="119"/>
        <v>0</v>
      </c>
      <c r="AZ115" s="41">
        <v>0</v>
      </c>
      <c r="BA115" s="41">
        <f t="shared" si="120"/>
        <v>0</v>
      </c>
      <c r="BC115" s="21">
        <f t="shared" si="121"/>
        <v>0</v>
      </c>
      <c r="BD115" s="21">
        <f t="shared" si="122"/>
        <v>0</v>
      </c>
      <c r="BE115" s="21">
        <f t="shared" si="123"/>
        <v>0</v>
      </c>
      <c r="BF115" s="21" t="s">
        <v>2492</v>
      </c>
      <c r="BG115" s="41">
        <v>721</v>
      </c>
    </row>
    <row r="116" spans="1:59" x14ac:dyDescent="0.3">
      <c r="A116" s="4" t="s">
        <v>104</v>
      </c>
      <c r="B116" s="13"/>
      <c r="C116" s="13" t="s">
        <v>1087</v>
      </c>
      <c r="D116" s="101" t="s">
        <v>1732</v>
      </c>
      <c r="E116" s="102"/>
      <c r="F116" s="13" t="s">
        <v>2385</v>
      </c>
      <c r="G116" s="21">
        <v>58</v>
      </c>
      <c r="H116" s="21">
        <v>0</v>
      </c>
      <c r="I116" s="21">
        <f t="shared" si="98"/>
        <v>0</v>
      </c>
      <c r="J116" s="21">
        <f t="shared" si="99"/>
        <v>0</v>
      </c>
      <c r="K116" s="21">
        <f t="shared" si="100"/>
        <v>0</v>
      </c>
      <c r="L116" s="21">
        <v>0</v>
      </c>
      <c r="M116" s="21">
        <f t="shared" si="101"/>
        <v>0</v>
      </c>
      <c r="N116" s="35"/>
      <c r="O116" s="39"/>
      <c r="U116" s="41">
        <f t="shared" si="102"/>
        <v>0</v>
      </c>
      <c r="W116" s="41">
        <f t="shared" si="103"/>
        <v>0</v>
      </c>
      <c r="X116" s="41">
        <f t="shared" si="104"/>
        <v>0</v>
      </c>
      <c r="Y116" s="41">
        <f t="shared" si="105"/>
        <v>0</v>
      </c>
      <c r="Z116" s="41">
        <f t="shared" si="106"/>
        <v>0</v>
      </c>
      <c r="AA116" s="41">
        <f t="shared" si="107"/>
        <v>0</v>
      </c>
      <c r="AB116" s="41">
        <f t="shared" si="108"/>
        <v>0</v>
      </c>
      <c r="AC116" s="41">
        <f t="shared" si="109"/>
        <v>0</v>
      </c>
      <c r="AD116" s="31"/>
      <c r="AE116" s="21">
        <f t="shared" si="110"/>
        <v>0</v>
      </c>
      <c r="AF116" s="21">
        <f t="shared" si="111"/>
        <v>0</v>
      </c>
      <c r="AG116" s="21">
        <f t="shared" si="112"/>
        <v>0</v>
      </c>
      <c r="AI116" s="41">
        <v>21</v>
      </c>
      <c r="AJ116" s="41">
        <f t="shared" si="113"/>
        <v>0</v>
      </c>
      <c r="AK116" s="41">
        <f t="shared" si="114"/>
        <v>0</v>
      </c>
      <c r="AL116" s="42" t="s">
        <v>13</v>
      </c>
      <c r="AQ116" s="41">
        <f t="shared" si="115"/>
        <v>0</v>
      </c>
      <c r="AR116" s="41">
        <f t="shared" si="116"/>
        <v>0</v>
      </c>
      <c r="AS116" s="41">
        <f t="shared" si="117"/>
        <v>0</v>
      </c>
      <c r="AT116" s="44" t="s">
        <v>2434</v>
      </c>
      <c r="AU116" s="44" t="s">
        <v>2480</v>
      </c>
      <c r="AV116" s="31" t="s">
        <v>2486</v>
      </c>
      <c r="AX116" s="41">
        <f t="shared" si="118"/>
        <v>0</v>
      </c>
      <c r="AY116" s="41">
        <f t="shared" si="119"/>
        <v>0</v>
      </c>
      <c r="AZ116" s="41">
        <v>0</v>
      </c>
      <c r="BA116" s="41">
        <f t="shared" si="120"/>
        <v>0</v>
      </c>
      <c r="BC116" s="21">
        <f t="shared" si="121"/>
        <v>0</v>
      </c>
      <c r="BD116" s="21">
        <f t="shared" si="122"/>
        <v>0</v>
      </c>
      <c r="BE116" s="21">
        <f t="shared" si="123"/>
        <v>0</v>
      </c>
      <c r="BF116" s="21" t="s">
        <v>2492</v>
      </c>
      <c r="BG116" s="41">
        <v>721</v>
      </c>
    </row>
    <row r="117" spans="1:59" x14ac:dyDescent="0.3">
      <c r="A117" s="4" t="s">
        <v>105</v>
      </c>
      <c r="B117" s="13"/>
      <c r="C117" s="13" t="s">
        <v>1087</v>
      </c>
      <c r="D117" s="101" t="s">
        <v>1733</v>
      </c>
      <c r="E117" s="102"/>
      <c r="F117" s="13" t="s">
        <v>2385</v>
      </c>
      <c r="G117" s="21">
        <v>48</v>
      </c>
      <c r="H117" s="21">
        <v>0</v>
      </c>
      <c r="I117" s="21">
        <f t="shared" si="98"/>
        <v>0</v>
      </c>
      <c r="J117" s="21">
        <f t="shared" si="99"/>
        <v>0</v>
      </c>
      <c r="K117" s="21">
        <f t="shared" si="100"/>
        <v>0</v>
      </c>
      <c r="L117" s="21">
        <v>0</v>
      </c>
      <c r="M117" s="21">
        <f t="shared" si="101"/>
        <v>0</v>
      </c>
      <c r="N117" s="35"/>
      <c r="O117" s="39"/>
      <c r="U117" s="41">
        <f t="shared" si="102"/>
        <v>0</v>
      </c>
      <c r="W117" s="41">
        <f t="shared" si="103"/>
        <v>0</v>
      </c>
      <c r="X117" s="41">
        <f t="shared" si="104"/>
        <v>0</v>
      </c>
      <c r="Y117" s="41">
        <f t="shared" si="105"/>
        <v>0</v>
      </c>
      <c r="Z117" s="41">
        <f t="shared" si="106"/>
        <v>0</v>
      </c>
      <c r="AA117" s="41">
        <f t="shared" si="107"/>
        <v>0</v>
      </c>
      <c r="AB117" s="41">
        <f t="shared" si="108"/>
        <v>0</v>
      </c>
      <c r="AC117" s="41">
        <f t="shared" si="109"/>
        <v>0</v>
      </c>
      <c r="AD117" s="31"/>
      <c r="AE117" s="21">
        <f t="shared" si="110"/>
        <v>0</v>
      </c>
      <c r="AF117" s="21">
        <f t="shared" si="111"/>
        <v>0</v>
      </c>
      <c r="AG117" s="21">
        <f t="shared" si="112"/>
        <v>0</v>
      </c>
      <c r="AI117" s="41">
        <v>21</v>
      </c>
      <c r="AJ117" s="41">
        <f t="shared" si="113"/>
        <v>0</v>
      </c>
      <c r="AK117" s="41">
        <f t="shared" si="114"/>
        <v>0</v>
      </c>
      <c r="AL117" s="42" t="s">
        <v>13</v>
      </c>
      <c r="AQ117" s="41">
        <f t="shared" si="115"/>
        <v>0</v>
      </c>
      <c r="AR117" s="41">
        <f t="shared" si="116"/>
        <v>0</v>
      </c>
      <c r="AS117" s="41">
        <f t="shared" si="117"/>
        <v>0</v>
      </c>
      <c r="AT117" s="44" t="s">
        <v>2434</v>
      </c>
      <c r="AU117" s="44" t="s">
        <v>2480</v>
      </c>
      <c r="AV117" s="31" t="s">
        <v>2486</v>
      </c>
      <c r="AX117" s="41">
        <f t="shared" si="118"/>
        <v>0</v>
      </c>
      <c r="AY117" s="41">
        <f t="shared" si="119"/>
        <v>0</v>
      </c>
      <c r="AZ117" s="41">
        <v>0</v>
      </c>
      <c r="BA117" s="41">
        <f t="shared" si="120"/>
        <v>0</v>
      </c>
      <c r="BC117" s="21">
        <f t="shared" si="121"/>
        <v>0</v>
      </c>
      <c r="BD117" s="21">
        <f t="shared" si="122"/>
        <v>0</v>
      </c>
      <c r="BE117" s="21">
        <f t="shared" si="123"/>
        <v>0</v>
      </c>
      <c r="BF117" s="21" t="s">
        <v>2492</v>
      </c>
      <c r="BG117" s="41">
        <v>721</v>
      </c>
    </row>
    <row r="118" spans="1:59" x14ac:dyDescent="0.3">
      <c r="A118" s="4" t="s">
        <v>106</v>
      </c>
      <c r="B118" s="13"/>
      <c r="C118" s="13" t="s">
        <v>1087</v>
      </c>
      <c r="D118" s="101" t="s">
        <v>1734</v>
      </c>
      <c r="E118" s="102"/>
      <c r="F118" s="13" t="s">
        <v>2386</v>
      </c>
      <c r="G118" s="21">
        <v>4</v>
      </c>
      <c r="H118" s="21">
        <v>0</v>
      </c>
      <c r="I118" s="21">
        <f t="shared" si="98"/>
        <v>0</v>
      </c>
      <c r="J118" s="21">
        <f t="shared" si="99"/>
        <v>0</v>
      </c>
      <c r="K118" s="21">
        <f t="shared" si="100"/>
        <v>0</v>
      </c>
      <c r="L118" s="21">
        <v>0</v>
      </c>
      <c r="M118" s="21">
        <f t="shared" si="101"/>
        <v>0</v>
      </c>
      <c r="N118" s="35"/>
      <c r="O118" s="39"/>
      <c r="U118" s="41">
        <f t="shared" si="102"/>
        <v>0</v>
      </c>
      <c r="W118" s="41">
        <f t="shared" si="103"/>
        <v>0</v>
      </c>
      <c r="X118" s="41">
        <f t="shared" si="104"/>
        <v>0</v>
      </c>
      <c r="Y118" s="41">
        <f t="shared" si="105"/>
        <v>0</v>
      </c>
      <c r="Z118" s="41">
        <f t="shared" si="106"/>
        <v>0</v>
      </c>
      <c r="AA118" s="41">
        <f t="shared" si="107"/>
        <v>0</v>
      </c>
      <c r="AB118" s="41">
        <f t="shared" si="108"/>
        <v>0</v>
      </c>
      <c r="AC118" s="41">
        <f t="shared" si="109"/>
        <v>0</v>
      </c>
      <c r="AD118" s="31"/>
      <c r="AE118" s="21">
        <f t="shared" si="110"/>
        <v>0</v>
      </c>
      <c r="AF118" s="21">
        <f t="shared" si="111"/>
        <v>0</v>
      </c>
      <c r="AG118" s="21">
        <f t="shared" si="112"/>
        <v>0</v>
      </c>
      <c r="AI118" s="41">
        <v>21</v>
      </c>
      <c r="AJ118" s="41">
        <f t="shared" si="113"/>
        <v>0</v>
      </c>
      <c r="AK118" s="41">
        <f t="shared" si="114"/>
        <v>0</v>
      </c>
      <c r="AL118" s="42" t="s">
        <v>13</v>
      </c>
      <c r="AQ118" s="41">
        <f t="shared" si="115"/>
        <v>0</v>
      </c>
      <c r="AR118" s="41">
        <f t="shared" si="116"/>
        <v>0</v>
      </c>
      <c r="AS118" s="41">
        <f t="shared" si="117"/>
        <v>0</v>
      </c>
      <c r="AT118" s="44" t="s">
        <v>2434</v>
      </c>
      <c r="AU118" s="44" t="s">
        <v>2480</v>
      </c>
      <c r="AV118" s="31" t="s">
        <v>2486</v>
      </c>
      <c r="AX118" s="41">
        <f t="shared" si="118"/>
        <v>0</v>
      </c>
      <c r="AY118" s="41">
        <f t="shared" si="119"/>
        <v>0</v>
      </c>
      <c r="AZ118" s="41">
        <v>0</v>
      </c>
      <c r="BA118" s="41">
        <f t="shared" si="120"/>
        <v>0</v>
      </c>
      <c r="BC118" s="21">
        <f t="shared" si="121"/>
        <v>0</v>
      </c>
      <c r="BD118" s="21">
        <f t="shared" si="122"/>
        <v>0</v>
      </c>
      <c r="BE118" s="21">
        <f t="shared" si="123"/>
        <v>0</v>
      </c>
      <c r="BF118" s="21" t="s">
        <v>2492</v>
      </c>
      <c r="BG118" s="41">
        <v>721</v>
      </c>
    </row>
    <row r="119" spans="1:59" x14ac:dyDescent="0.3">
      <c r="A119" s="4" t="s">
        <v>107</v>
      </c>
      <c r="B119" s="13"/>
      <c r="C119" s="13" t="s">
        <v>1087</v>
      </c>
      <c r="D119" s="101" t="s">
        <v>1735</v>
      </c>
      <c r="E119" s="102"/>
      <c r="F119" s="13" t="s">
        <v>2385</v>
      </c>
      <c r="G119" s="21">
        <v>178</v>
      </c>
      <c r="H119" s="21">
        <v>0</v>
      </c>
      <c r="I119" s="21">
        <f t="shared" si="98"/>
        <v>0</v>
      </c>
      <c r="J119" s="21">
        <f t="shared" si="99"/>
        <v>0</v>
      </c>
      <c r="K119" s="21">
        <f t="shared" si="100"/>
        <v>0</v>
      </c>
      <c r="L119" s="21">
        <v>0</v>
      </c>
      <c r="M119" s="21">
        <f t="shared" si="101"/>
        <v>0</v>
      </c>
      <c r="N119" s="35"/>
      <c r="O119" s="39"/>
      <c r="U119" s="41">
        <f t="shared" si="102"/>
        <v>0</v>
      </c>
      <c r="W119" s="41">
        <f t="shared" si="103"/>
        <v>0</v>
      </c>
      <c r="X119" s="41">
        <f t="shared" si="104"/>
        <v>0</v>
      </c>
      <c r="Y119" s="41">
        <f t="shared" si="105"/>
        <v>0</v>
      </c>
      <c r="Z119" s="41">
        <f t="shared" si="106"/>
        <v>0</v>
      </c>
      <c r="AA119" s="41">
        <f t="shared" si="107"/>
        <v>0</v>
      </c>
      <c r="AB119" s="41">
        <f t="shared" si="108"/>
        <v>0</v>
      </c>
      <c r="AC119" s="41">
        <f t="shared" si="109"/>
        <v>0</v>
      </c>
      <c r="AD119" s="31"/>
      <c r="AE119" s="21">
        <f t="shared" si="110"/>
        <v>0</v>
      </c>
      <c r="AF119" s="21">
        <f t="shared" si="111"/>
        <v>0</v>
      </c>
      <c r="AG119" s="21">
        <f t="shared" si="112"/>
        <v>0</v>
      </c>
      <c r="AI119" s="41">
        <v>21</v>
      </c>
      <c r="AJ119" s="41">
        <f t="shared" si="113"/>
        <v>0</v>
      </c>
      <c r="AK119" s="41">
        <f t="shared" si="114"/>
        <v>0</v>
      </c>
      <c r="AL119" s="42" t="s">
        <v>13</v>
      </c>
      <c r="AQ119" s="41">
        <f t="shared" si="115"/>
        <v>0</v>
      </c>
      <c r="AR119" s="41">
        <f t="shared" si="116"/>
        <v>0</v>
      </c>
      <c r="AS119" s="41">
        <f t="shared" si="117"/>
        <v>0</v>
      </c>
      <c r="AT119" s="44" t="s">
        <v>2434</v>
      </c>
      <c r="AU119" s="44" t="s">
        <v>2480</v>
      </c>
      <c r="AV119" s="31" t="s">
        <v>2486</v>
      </c>
      <c r="AX119" s="41">
        <f t="shared" si="118"/>
        <v>0</v>
      </c>
      <c r="AY119" s="41">
        <f t="shared" si="119"/>
        <v>0</v>
      </c>
      <c r="AZ119" s="41">
        <v>0</v>
      </c>
      <c r="BA119" s="41">
        <f t="shared" si="120"/>
        <v>0</v>
      </c>
      <c r="BC119" s="21">
        <f t="shared" si="121"/>
        <v>0</v>
      </c>
      <c r="BD119" s="21">
        <f t="shared" si="122"/>
        <v>0</v>
      </c>
      <c r="BE119" s="21">
        <f t="shared" si="123"/>
        <v>0</v>
      </c>
      <c r="BF119" s="21" t="s">
        <v>2492</v>
      </c>
      <c r="BG119" s="41">
        <v>721</v>
      </c>
    </row>
    <row r="120" spans="1:59" x14ac:dyDescent="0.3">
      <c r="A120" s="4" t="s">
        <v>108</v>
      </c>
      <c r="B120" s="13"/>
      <c r="C120" s="13" t="s">
        <v>1087</v>
      </c>
      <c r="D120" s="101" t="s">
        <v>1736</v>
      </c>
      <c r="E120" s="102"/>
      <c r="F120" s="13" t="s">
        <v>2385</v>
      </c>
      <c r="G120" s="21">
        <v>67</v>
      </c>
      <c r="H120" s="21">
        <v>0</v>
      </c>
      <c r="I120" s="21">
        <f t="shared" si="98"/>
        <v>0</v>
      </c>
      <c r="J120" s="21">
        <f t="shared" si="99"/>
        <v>0</v>
      </c>
      <c r="K120" s="21">
        <f t="shared" si="100"/>
        <v>0</v>
      </c>
      <c r="L120" s="21">
        <v>0</v>
      </c>
      <c r="M120" s="21">
        <f t="shared" si="101"/>
        <v>0</v>
      </c>
      <c r="N120" s="35"/>
      <c r="O120" s="39"/>
      <c r="U120" s="41">
        <f t="shared" si="102"/>
        <v>0</v>
      </c>
      <c r="W120" s="41">
        <f t="shared" si="103"/>
        <v>0</v>
      </c>
      <c r="X120" s="41">
        <f t="shared" si="104"/>
        <v>0</v>
      </c>
      <c r="Y120" s="41">
        <f t="shared" si="105"/>
        <v>0</v>
      </c>
      <c r="Z120" s="41">
        <f t="shared" si="106"/>
        <v>0</v>
      </c>
      <c r="AA120" s="41">
        <f t="shared" si="107"/>
        <v>0</v>
      </c>
      <c r="AB120" s="41">
        <f t="shared" si="108"/>
        <v>0</v>
      </c>
      <c r="AC120" s="41">
        <f t="shared" si="109"/>
        <v>0</v>
      </c>
      <c r="AD120" s="31"/>
      <c r="AE120" s="21">
        <f t="shared" si="110"/>
        <v>0</v>
      </c>
      <c r="AF120" s="21">
        <f t="shared" si="111"/>
        <v>0</v>
      </c>
      <c r="AG120" s="21">
        <f t="shared" si="112"/>
        <v>0</v>
      </c>
      <c r="AI120" s="41">
        <v>21</v>
      </c>
      <c r="AJ120" s="41">
        <f t="shared" si="113"/>
        <v>0</v>
      </c>
      <c r="AK120" s="41">
        <f t="shared" si="114"/>
        <v>0</v>
      </c>
      <c r="AL120" s="42" t="s">
        <v>13</v>
      </c>
      <c r="AQ120" s="41">
        <f t="shared" si="115"/>
        <v>0</v>
      </c>
      <c r="AR120" s="41">
        <f t="shared" si="116"/>
        <v>0</v>
      </c>
      <c r="AS120" s="41">
        <f t="shared" si="117"/>
        <v>0</v>
      </c>
      <c r="AT120" s="44" t="s">
        <v>2434</v>
      </c>
      <c r="AU120" s="44" t="s">
        <v>2480</v>
      </c>
      <c r="AV120" s="31" t="s">
        <v>2486</v>
      </c>
      <c r="AX120" s="41">
        <f t="shared" si="118"/>
        <v>0</v>
      </c>
      <c r="AY120" s="41">
        <f t="shared" si="119"/>
        <v>0</v>
      </c>
      <c r="AZ120" s="41">
        <v>0</v>
      </c>
      <c r="BA120" s="41">
        <f t="shared" si="120"/>
        <v>0</v>
      </c>
      <c r="BC120" s="21">
        <f t="shared" si="121"/>
        <v>0</v>
      </c>
      <c r="BD120" s="21">
        <f t="shared" si="122"/>
        <v>0</v>
      </c>
      <c r="BE120" s="21">
        <f t="shared" si="123"/>
        <v>0</v>
      </c>
      <c r="BF120" s="21" t="s">
        <v>2492</v>
      </c>
      <c r="BG120" s="41">
        <v>721</v>
      </c>
    </row>
    <row r="121" spans="1:59" x14ac:dyDescent="0.3">
      <c r="A121" s="4" t="s">
        <v>109</v>
      </c>
      <c r="B121" s="13"/>
      <c r="C121" s="13" t="s">
        <v>1087</v>
      </c>
      <c r="D121" s="101" t="s">
        <v>1737</v>
      </c>
      <c r="E121" s="102"/>
      <c r="F121" s="13" t="s">
        <v>2384</v>
      </c>
      <c r="G121" s="21">
        <v>15</v>
      </c>
      <c r="H121" s="21">
        <v>0</v>
      </c>
      <c r="I121" s="21">
        <f t="shared" si="98"/>
        <v>0</v>
      </c>
      <c r="J121" s="21">
        <f t="shared" si="99"/>
        <v>0</v>
      </c>
      <c r="K121" s="21">
        <f t="shared" si="100"/>
        <v>0</v>
      </c>
      <c r="L121" s="21">
        <v>0</v>
      </c>
      <c r="M121" s="21">
        <f t="shared" si="101"/>
        <v>0</v>
      </c>
      <c r="N121" s="35"/>
      <c r="O121" s="39"/>
      <c r="U121" s="41">
        <f t="shared" si="102"/>
        <v>0</v>
      </c>
      <c r="W121" s="41">
        <f t="shared" si="103"/>
        <v>0</v>
      </c>
      <c r="X121" s="41">
        <f t="shared" si="104"/>
        <v>0</v>
      </c>
      <c r="Y121" s="41">
        <f t="shared" si="105"/>
        <v>0</v>
      </c>
      <c r="Z121" s="41">
        <f t="shared" si="106"/>
        <v>0</v>
      </c>
      <c r="AA121" s="41">
        <f t="shared" si="107"/>
        <v>0</v>
      </c>
      <c r="AB121" s="41">
        <f t="shared" si="108"/>
        <v>0</v>
      </c>
      <c r="AC121" s="41">
        <f t="shared" si="109"/>
        <v>0</v>
      </c>
      <c r="AD121" s="31"/>
      <c r="AE121" s="21">
        <f t="shared" si="110"/>
        <v>0</v>
      </c>
      <c r="AF121" s="21">
        <f t="shared" si="111"/>
        <v>0</v>
      </c>
      <c r="AG121" s="21">
        <f t="shared" si="112"/>
        <v>0</v>
      </c>
      <c r="AI121" s="41">
        <v>21</v>
      </c>
      <c r="AJ121" s="41">
        <f t="shared" si="113"/>
        <v>0</v>
      </c>
      <c r="AK121" s="41">
        <f t="shared" si="114"/>
        <v>0</v>
      </c>
      <c r="AL121" s="42" t="s">
        <v>13</v>
      </c>
      <c r="AQ121" s="41">
        <f t="shared" si="115"/>
        <v>0</v>
      </c>
      <c r="AR121" s="41">
        <f t="shared" si="116"/>
        <v>0</v>
      </c>
      <c r="AS121" s="41">
        <f t="shared" si="117"/>
        <v>0</v>
      </c>
      <c r="AT121" s="44" t="s">
        <v>2434</v>
      </c>
      <c r="AU121" s="44" t="s">
        <v>2480</v>
      </c>
      <c r="AV121" s="31" t="s">
        <v>2486</v>
      </c>
      <c r="AX121" s="41">
        <f t="shared" si="118"/>
        <v>0</v>
      </c>
      <c r="AY121" s="41">
        <f t="shared" si="119"/>
        <v>0</v>
      </c>
      <c r="AZ121" s="41">
        <v>0</v>
      </c>
      <c r="BA121" s="41">
        <f t="shared" si="120"/>
        <v>0</v>
      </c>
      <c r="BC121" s="21">
        <f t="shared" si="121"/>
        <v>0</v>
      </c>
      <c r="BD121" s="21">
        <f t="shared" si="122"/>
        <v>0</v>
      </c>
      <c r="BE121" s="21">
        <f t="shared" si="123"/>
        <v>0</v>
      </c>
      <c r="BF121" s="21" t="s">
        <v>2492</v>
      </c>
      <c r="BG121" s="41">
        <v>721</v>
      </c>
    </row>
    <row r="122" spans="1:59" x14ac:dyDescent="0.3">
      <c r="A122" s="4" t="s">
        <v>110</v>
      </c>
      <c r="B122" s="13"/>
      <c r="C122" s="13" t="s">
        <v>1087</v>
      </c>
      <c r="D122" s="101" t="s">
        <v>1738</v>
      </c>
      <c r="E122" s="102"/>
      <c r="F122" s="13"/>
      <c r="G122" s="21">
        <v>1</v>
      </c>
      <c r="H122" s="21">
        <v>0</v>
      </c>
      <c r="I122" s="21">
        <f t="shared" si="98"/>
        <v>0</v>
      </c>
      <c r="J122" s="21">
        <f t="shared" si="99"/>
        <v>0</v>
      </c>
      <c r="K122" s="21">
        <f t="shared" si="100"/>
        <v>0</v>
      </c>
      <c r="L122" s="21">
        <v>0</v>
      </c>
      <c r="M122" s="21">
        <f t="shared" si="101"/>
        <v>0</v>
      </c>
      <c r="N122" s="35"/>
      <c r="O122" s="39"/>
      <c r="U122" s="41">
        <f t="shared" si="102"/>
        <v>0</v>
      </c>
      <c r="W122" s="41">
        <f t="shared" si="103"/>
        <v>0</v>
      </c>
      <c r="X122" s="41">
        <f t="shared" si="104"/>
        <v>0</v>
      </c>
      <c r="Y122" s="41">
        <f t="shared" si="105"/>
        <v>0</v>
      </c>
      <c r="Z122" s="41">
        <f t="shared" si="106"/>
        <v>0</v>
      </c>
      <c r="AA122" s="41">
        <f t="shared" si="107"/>
        <v>0</v>
      </c>
      <c r="AB122" s="41">
        <f t="shared" si="108"/>
        <v>0</v>
      </c>
      <c r="AC122" s="41">
        <f t="shared" si="109"/>
        <v>0</v>
      </c>
      <c r="AD122" s="31"/>
      <c r="AE122" s="21">
        <f t="shared" si="110"/>
        <v>0</v>
      </c>
      <c r="AF122" s="21">
        <f t="shared" si="111"/>
        <v>0</v>
      </c>
      <c r="AG122" s="21">
        <f t="shared" si="112"/>
        <v>0</v>
      </c>
      <c r="AI122" s="41">
        <v>21</v>
      </c>
      <c r="AJ122" s="41">
        <f t="shared" si="113"/>
        <v>0</v>
      </c>
      <c r="AK122" s="41">
        <f t="shared" si="114"/>
        <v>0</v>
      </c>
      <c r="AL122" s="42" t="s">
        <v>13</v>
      </c>
      <c r="AQ122" s="41">
        <f t="shared" si="115"/>
        <v>0</v>
      </c>
      <c r="AR122" s="41">
        <f t="shared" si="116"/>
        <v>0</v>
      </c>
      <c r="AS122" s="41">
        <f t="shared" si="117"/>
        <v>0</v>
      </c>
      <c r="AT122" s="44" t="s">
        <v>2434</v>
      </c>
      <c r="AU122" s="44" t="s">
        <v>2480</v>
      </c>
      <c r="AV122" s="31" t="s">
        <v>2486</v>
      </c>
      <c r="AX122" s="41">
        <f t="shared" si="118"/>
        <v>0</v>
      </c>
      <c r="AY122" s="41">
        <f t="shared" si="119"/>
        <v>0</v>
      </c>
      <c r="AZ122" s="41">
        <v>0</v>
      </c>
      <c r="BA122" s="41">
        <f t="shared" si="120"/>
        <v>0</v>
      </c>
      <c r="BC122" s="21">
        <f t="shared" si="121"/>
        <v>0</v>
      </c>
      <c r="BD122" s="21">
        <f t="shared" si="122"/>
        <v>0</v>
      </c>
      <c r="BE122" s="21">
        <f t="shared" si="123"/>
        <v>0</v>
      </c>
      <c r="BF122" s="21" t="s">
        <v>2492</v>
      </c>
      <c r="BG122" s="41">
        <v>721</v>
      </c>
    </row>
    <row r="123" spans="1:59" x14ac:dyDescent="0.3">
      <c r="A123" s="4" t="s">
        <v>111</v>
      </c>
      <c r="B123" s="13"/>
      <c r="C123" s="13" t="s">
        <v>1087</v>
      </c>
      <c r="D123" s="101" t="s">
        <v>1739</v>
      </c>
      <c r="E123" s="102"/>
      <c r="F123" s="13"/>
      <c r="G123" s="21">
        <v>1</v>
      </c>
      <c r="H123" s="21">
        <v>0</v>
      </c>
      <c r="I123" s="21">
        <f t="shared" si="98"/>
        <v>0</v>
      </c>
      <c r="J123" s="21">
        <f t="shared" si="99"/>
        <v>0</v>
      </c>
      <c r="K123" s="21">
        <f t="shared" si="100"/>
        <v>0</v>
      </c>
      <c r="L123" s="21">
        <v>0</v>
      </c>
      <c r="M123" s="21">
        <f t="shared" si="101"/>
        <v>0</v>
      </c>
      <c r="N123" s="35"/>
      <c r="O123" s="39"/>
      <c r="U123" s="41">
        <f t="shared" si="102"/>
        <v>0</v>
      </c>
      <c r="W123" s="41">
        <f t="shared" si="103"/>
        <v>0</v>
      </c>
      <c r="X123" s="41">
        <f t="shared" si="104"/>
        <v>0</v>
      </c>
      <c r="Y123" s="41">
        <f t="shared" si="105"/>
        <v>0</v>
      </c>
      <c r="Z123" s="41">
        <f t="shared" si="106"/>
        <v>0</v>
      </c>
      <c r="AA123" s="41">
        <f t="shared" si="107"/>
        <v>0</v>
      </c>
      <c r="AB123" s="41">
        <f t="shared" si="108"/>
        <v>0</v>
      </c>
      <c r="AC123" s="41">
        <f t="shared" si="109"/>
        <v>0</v>
      </c>
      <c r="AD123" s="31"/>
      <c r="AE123" s="21">
        <f t="shared" si="110"/>
        <v>0</v>
      </c>
      <c r="AF123" s="21">
        <f t="shared" si="111"/>
        <v>0</v>
      </c>
      <c r="AG123" s="21">
        <f t="shared" si="112"/>
        <v>0</v>
      </c>
      <c r="AI123" s="41">
        <v>21</v>
      </c>
      <c r="AJ123" s="41">
        <f t="shared" si="113"/>
        <v>0</v>
      </c>
      <c r="AK123" s="41">
        <f t="shared" si="114"/>
        <v>0</v>
      </c>
      <c r="AL123" s="42" t="s">
        <v>13</v>
      </c>
      <c r="AQ123" s="41">
        <f t="shared" si="115"/>
        <v>0</v>
      </c>
      <c r="AR123" s="41">
        <f t="shared" si="116"/>
        <v>0</v>
      </c>
      <c r="AS123" s="41">
        <f t="shared" si="117"/>
        <v>0</v>
      </c>
      <c r="AT123" s="44" t="s">
        <v>2434</v>
      </c>
      <c r="AU123" s="44" t="s">
        <v>2480</v>
      </c>
      <c r="AV123" s="31" t="s">
        <v>2486</v>
      </c>
      <c r="AX123" s="41">
        <f t="shared" si="118"/>
        <v>0</v>
      </c>
      <c r="AY123" s="41">
        <f t="shared" si="119"/>
        <v>0</v>
      </c>
      <c r="AZ123" s="41">
        <v>0</v>
      </c>
      <c r="BA123" s="41">
        <f t="shared" si="120"/>
        <v>0</v>
      </c>
      <c r="BC123" s="21">
        <f t="shared" si="121"/>
        <v>0</v>
      </c>
      <c r="BD123" s="21">
        <f t="shared" si="122"/>
        <v>0</v>
      </c>
      <c r="BE123" s="21">
        <f t="shared" si="123"/>
        <v>0</v>
      </c>
      <c r="BF123" s="21" t="s">
        <v>2492</v>
      </c>
      <c r="BG123" s="41">
        <v>721</v>
      </c>
    </row>
    <row r="124" spans="1:59" x14ac:dyDescent="0.3">
      <c r="A124" s="4" t="s">
        <v>112</v>
      </c>
      <c r="B124" s="13"/>
      <c r="C124" s="13" t="s">
        <v>1087</v>
      </c>
      <c r="D124" s="101" t="s">
        <v>1740</v>
      </c>
      <c r="E124" s="102"/>
      <c r="F124" s="13"/>
      <c r="G124" s="21">
        <v>1</v>
      </c>
      <c r="H124" s="21">
        <v>0</v>
      </c>
      <c r="I124" s="21">
        <f t="shared" si="98"/>
        <v>0</v>
      </c>
      <c r="J124" s="21">
        <f t="shared" si="99"/>
        <v>0</v>
      </c>
      <c r="K124" s="21">
        <f t="shared" si="100"/>
        <v>0</v>
      </c>
      <c r="L124" s="21">
        <v>0</v>
      </c>
      <c r="M124" s="21">
        <f t="shared" si="101"/>
        <v>0</v>
      </c>
      <c r="N124" s="35"/>
      <c r="O124" s="39"/>
      <c r="U124" s="41">
        <f t="shared" si="102"/>
        <v>0</v>
      </c>
      <c r="W124" s="41">
        <f t="shared" si="103"/>
        <v>0</v>
      </c>
      <c r="X124" s="41">
        <f t="shared" si="104"/>
        <v>0</v>
      </c>
      <c r="Y124" s="41">
        <f t="shared" si="105"/>
        <v>0</v>
      </c>
      <c r="Z124" s="41">
        <f t="shared" si="106"/>
        <v>0</v>
      </c>
      <c r="AA124" s="41">
        <f t="shared" si="107"/>
        <v>0</v>
      </c>
      <c r="AB124" s="41">
        <f t="shared" si="108"/>
        <v>0</v>
      </c>
      <c r="AC124" s="41">
        <f t="shared" si="109"/>
        <v>0</v>
      </c>
      <c r="AD124" s="31"/>
      <c r="AE124" s="21">
        <f t="shared" si="110"/>
        <v>0</v>
      </c>
      <c r="AF124" s="21">
        <f t="shared" si="111"/>
        <v>0</v>
      </c>
      <c r="AG124" s="21">
        <f t="shared" si="112"/>
        <v>0</v>
      </c>
      <c r="AI124" s="41">
        <v>21</v>
      </c>
      <c r="AJ124" s="41">
        <f t="shared" si="113"/>
        <v>0</v>
      </c>
      <c r="AK124" s="41">
        <f t="shared" si="114"/>
        <v>0</v>
      </c>
      <c r="AL124" s="42" t="s">
        <v>13</v>
      </c>
      <c r="AQ124" s="41">
        <f t="shared" si="115"/>
        <v>0</v>
      </c>
      <c r="AR124" s="41">
        <f t="shared" si="116"/>
        <v>0</v>
      </c>
      <c r="AS124" s="41">
        <f t="shared" si="117"/>
        <v>0</v>
      </c>
      <c r="AT124" s="44" t="s">
        <v>2434</v>
      </c>
      <c r="AU124" s="44" t="s">
        <v>2480</v>
      </c>
      <c r="AV124" s="31" t="s">
        <v>2486</v>
      </c>
      <c r="AX124" s="41">
        <f t="shared" si="118"/>
        <v>0</v>
      </c>
      <c r="AY124" s="41">
        <f t="shared" si="119"/>
        <v>0</v>
      </c>
      <c r="AZ124" s="41">
        <v>0</v>
      </c>
      <c r="BA124" s="41">
        <f t="shared" si="120"/>
        <v>0</v>
      </c>
      <c r="BC124" s="21">
        <f t="shared" si="121"/>
        <v>0</v>
      </c>
      <c r="BD124" s="21">
        <f t="shared" si="122"/>
        <v>0</v>
      </c>
      <c r="BE124" s="21">
        <f t="shared" si="123"/>
        <v>0</v>
      </c>
      <c r="BF124" s="21" t="s">
        <v>2492</v>
      </c>
      <c r="BG124" s="41">
        <v>721</v>
      </c>
    </row>
    <row r="125" spans="1:59" x14ac:dyDescent="0.3">
      <c r="A125" s="4" t="s">
        <v>113</v>
      </c>
      <c r="B125" s="13"/>
      <c r="C125" s="13" t="s">
        <v>1087</v>
      </c>
      <c r="D125" s="101" t="s">
        <v>1741</v>
      </c>
      <c r="E125" s="102"/>
      <c r="F125" s="13"/>
      <c r="G125" s="21">
        <v>1</v>
      </c>
      <c r="H125" s="21">
        <v>0</v>
      </c>
      <c r="I125" s="21">
        <f t="shared" si="98"/>
        <v>0</v>
      </c>
      <c r="J125" s="21">
        <f t="shared" si="99"/>
        <v>0</v>
      </c>
      <c r="K125" s="21">
        <f t="shared" si="100"/>
        <v>0</v>
      </c>
      <c r="L125" s="21">
        <v>0</v>
      </c>
      <c r="M125" s="21">
        <f t="shared" si="101"/>
        <v>0</v>
      </c>
      <c r="N125" s="35"/>
      <c r="O125" s="39"/>
      <c r="U125" s="41">
        <f t="shared" si="102"/>
        <v>0</v>
      </c>
      <c r="W125" s="41">
        <f t="shared" si="103"/>
        <v>0</v>
      </c>
      <c r="X125" s="41">
        <f t="shared" si="104"/>
        <v>0</v>
      </c>
      <c r="Y125" s="41">
        <f t="shared" si="105"/>
        <v>0</v>
      </c>
      <c r="Z125" s="41">
        <f t="shared" si="106"/>
        <v>0</v>
      </c>
      <c r="AA125" s="41">
        <f t="shared" si="107"/>
        <v>0</v>
      </c>
      <c r="AB125" s="41">
        <f t="shared" si="108"/>
        <v>0</v>
      </c>
      <c r="AC125" s="41">
        <f t="shared" si="109"/>
        <v>0</v>
      </c>
      <c r="AD125" s="31"/>
      <c r="AE125" s="21">
        <f t="shared" si="110"/>
        <v>0</v>
      </c>
      <c r="AF125" s="21">
        <f t="shared" si="111"/>
        <v>0</v>
      </c>
      <c r="AG125" s="21">
        <f t="shared" si="112"/>
        <v>0</v>
      </c>
      <c r="AI125" s="41">
        <v>21</v>
      </c>
      <c r="AJ125" s="41">
        <f t="shared" si="113"/>
        <v>0</v>
      </c>
      <c r="AK125" s="41">
        <f t="shared" si="114"/>
        <v>0</v>
      </c>
      <c r="AL125" s="42" t="s">
        <v>13</v>
      </c>
      <c r="AQ125" s="41">
        <f t="shared" si="115"/>
        <v>0</v>
      </c>
      <c r="AR125" s="41">
        <f t="shared" si="116"/>
        <v>0</v>
      </c>
      <c r="AS125" s="41">
        <f t="shared" si="117"/>
        <v>0</v>
      </c>
      <c r="AT125" s="44" t="s">
        <v>2434</v>
      </c>
      <c r="AU125" s="44" t="s">
        <v>2480</v>
      </c>
      <c r="AV125" s="31" t="s">
        <v>2486</v>
      </c>
      <c r="AX125" s="41">
        <f t="shared" si="118"/>
        <v>0</v>
      </c>
      <c r="AY125" s="41">
        <f t="shared" si="119"/>
        <v>0</v>
      </c>
      <c r="AZ125" s="41">
        <v>0</v>
      </c>
      <c r="BA125" s="41">
        <f t="shared" si="120"/>
        <v>0</v>
      </c>
      <c r="BC125" s="21">
        <f t="shared" si="121"/>
        <v>0</v>
      </c>
      <c r="BD125" s="21">
        <f t="shared" si="122"/>
        <v>0</v>
      </c>
      <c r="BE125" s="21">
        <f t="shared" si="123"/>
        <v>0</v>
      </c>
      <c r="BF125" s="21" t="s">
        <v>2492</v>
      </c>
      <c r="BG125" s="41">
        <v>721</v>
      </c>
    </row>
    <row r="126" spans="1:59" x14ac:dyDescent="0.3">
      <c r="A126" s="4" t="s">
        <v>114</v>
      </c>
      <c r="B126" s="13"/>
      <c r="C126" s="13" t="s">
        <v>1087</v>
      </c>
      <c r="D126" s="101" t="s">
        <v>1742</v>
      </c>
      <c r="E126" s="102"/>
      <c r="F126" s="13"/>
      <c r="G126" s="21">
        <v>1</v>
      </c>
      <c r="H126" s="21">
        <v>0</v>
      </c>
      <c r="I126" s="21">
        <f t="shared" si="98"/>
        <v>0</v>
      </c>
      <c r="J126" s="21">
        <f t="shared" si="99"/>
        <v>0</v>
      </c>
      <c r="K126" s="21">
        <f t="shared" si="100"/>
        <v>0</v>
      </c>
      <c r="L126" s="21">
        <v>0</v>
      </c>
      <c r="M126" s="21">
        <f t="shared" si="101"/>
        <v>0</v>
      </c>
      <c r="N126" s="35"/>
      <c r="O126" s="39"/>
      <c r="U126" s="41">
        <f t="shared" si="102"/>
        <v>0</v>
      </c>
      <c r="W126" s="41">
        <f t="shared" si="103"/>
        <v>0</v>
      </c>
      <c r="X126" s="41">
        <f t="shared" si="104"/>
        <v>0</v>
      </c>
      <c r="Y126" s="41">
        <f t="shared" si="105"/>
        <v>0</v>
      </c>
      <c r="Z126" s="41">
        <f t="shared" si="106"/>
        <v>0</v>
      </c>
      <c r="AA126" s="41">
        <f t="shared" si="107"/>
        <v>0</v>
      </c>
      <c r="AB126" s="41">
        <f t="shared" si="108"/>
        <v>0</v>
      </c>
      <c r="AC126" s="41">
        <f t="shared" si="109"/>
        <v>0</v>
      </c>
      <c r="AD126" s="31"/>
      <c r="AE126" s="21">
        <f t="shared" si="110"/>
        <v>0</v>
      </c>
      <c r="AF126" s="21">
        <f t="shared" si="111"/>
        <v>0</v>
      </c>
      <c r="AG126" s="21">
        <f t="shared" si="112"/>
        <v>0</v>
      </c>
      <c r="AI126" s="41">
        <v>21</v>
      </c>
      <c r="AJ126" s="41">
        <f t="shared" si="113"/>
        <v>0</v>
      </c>
      <c r="AK126" s="41">
        <f t="shared" si="114"/>
        <v>0</v>
      </c>
      <c r="AL126" s="42" t="s">
        <v>13</v>
      </c>
      <c r="AQ126" s="41">
        <f t="shared" si="115"/>
        <v>0</v>
      </c>
      <c r="AR126" s="41">
        <f t="shared" si="116"/>
        <v>0</v>
      </c>
      <c r="AS126" s="41">
        <f t="shared" si="117"/>
        <v>0</v>
      </c>
      <c r="AT126" s="44" t="s">
        <v>2434</v>
      </c>
      <c r="AU126" s="44" t="s">
        <v>2480</v>
      </c>
      <c r="AV126" s="31" t="s">
        <v>2486</v>
      </c>
      <c r="AX126" s="41">
        <f t="shared" si="118"/>
        <v>0</v>
      </c>
      <c r="AY126" s="41">
        <f t="shared" si="119"/>
        <v>0</v>
      </c>
      <c r="AZ126" s="41">
        <v>0</v>
      </c>
      <c r="BA126" s="41">
        <f t="shared" si="120"/>
        <v>0</v>
      </c>
      <c r="BC126" s="21">
        <f t="shared" si="121"/>
        <v>0</v>
      </c>
      <c r="BD126" s="21">
        <f t="shared" si="122"/>
        <v>0</v>
      </c>
      <c r="BE126" s="21">
        <f t="shared" si="123"/>
        <v>0</v>
      </c>
      <c r="BF126" s="21" t="s">
        <v>2492</v>
      </c>
      <c r="BG126" s="41">
        <v>721</v>
      </c>
    </row>
    <row r="127" spans="1:59" x14ac:dyDescent="0.3">
      <c r="A127" s="4" t="s">
        <v>115</v>
      </c>
      <c r="B127" s="13"/>
      <c r="C127" s="13" t="s">
        <v>1087</v>
      </c>
      <c r="D127" s="101" t="s">
        <v>1743</v>
      </c>
      <c r="E127" s="102"/>
      <c r="F127" s="13"/>
      <c r="G127" s="21">
        <v>1</v>
      </c>
      <c r="H127" s="21">
        <v>0</v>
      </c>
      <c r="I127" s="21">
        <f t="shared" si="98"/>
        <v>0</v>
      </c>
      <c r="J127" s="21">
        <f t="shared" si="99"/>
        <v>0</v>
      </c>
      <c r="K127" s="21">
        <f t="shared" si="100"/>
        <v>0</v>
      </c>
      <c r="L127" s="21">
        <v>0</v>
      </c>
      <c r="M127" s="21">
        <f t="shared" si="101"/>
        <v>0</v>
      </c>
      <c r="N127" s="35"/>
      <c r="O127" s="39"/>
      <c r="U127" s="41">
        <f t="shared" si="102"/>
        <v>0</v>
      </c>
      <c r="W127" s="41">
        <f t="shared" si="103"/>
        <v>0</v>
      </c>
      <c r="X127" s="41">
        <f t="shared" si="104"/>
        <v>0</v>
      </c>
      <c r="Y127" s="41">
        <f t="shared" si="105"/>
        <v>0</v>
      </c>
      <c r="Z127" s="41">
        <f t="shared" si="106"/>
        <v>0</v>
      </c>
      <c r="AA127" s="41">
        <f t="shared" si="107"/>
        <v>0</v>
      </c>
      <c r="AB127" s="41">
        <f t="shared" si="108"/>
        <v>0</v>
      </c>
      <c r="AC127" s="41">
        <f t="shared" si="109"/>
        <v>0</v>
      </c>
      <c r="AD127" s="31"/>
      <c r="AE127" s="21">
        <f t="shared" si="110"/>
        <v>0</v>
      </c>
      <c r="AF127" s="21">
        <f t="shared" si="111"/>
        <v>0</v>
      </c>
      <c r="AG127" s="21">
        <f t="shared" si="112"/>
        <v>0</v>
      </c>
      <c r="AI127" s="41">
        <v>21</v>
      </c>
      <c r="AJ127" s="41">
        <f t="shared" si="113"/>
        <v>0</v>
      </c>
      <c r="AK127" s="41">
        <f t="shared" si="114"/>
        <v>0</v>
      </c>
      <c r="AL127" s="42" t="s">
        <v>13</v>
      </c>
      <c r="AQ127" s="41">
        <f t="shared" si="115"/>
        <v>0</v>
      </c>
      <c r="AR127" s="41">
        <f t="shared" si="116"/>
        <v>0</v>
      </c>
      <c r="AS127" s="41">
        <f t="shared" si="117"/>
        <v>0</v>
      </c>
      <c r="AT127" s="44" t="s">
        <v>2434</v>
      </c>
      <c r="AU127" s="44" t="s">
        <v>2480</v>
      </c>
      <c r="AV127" s="31" t="s">
        <v>2486</v>
      </c>
      <c r="AX127" s="41">
        <f t="shared" si="118"/>
        <v>0</v>
      </c>
      <c r="AY127" s="41">
        <f t="shared" si="119"/>
        <v>0</v>
      </c>
      <c r="AZ127" s="41">
        <v>0</v>
      </c>
      <c r="BA127" s="41">
        <f t="shared" si="120"/>
        <v>0</v>
      </c>
      <c r="BC127" s="21">
        <f t="shared" si="121"/>
        <v>0</v>
      </c>
      <c r="BD127" s="21">
        <f t="shared" si="122"/>
        <v>0</v>
      </c>
      <c r="BE127" s="21">
        <f t="shared" si="123"/>
        <v>0</v>
      </c>
      <c r="BF127" s="21" t="s">
        <v>2492</v>
      </c>
      <c r="BG127" s="41">
        <v>721</v>
      </c>
    </row>
    <row r="128" spans="1:59" x14ac:dyDescent="0.3">
      <c r="A128" s="4" t="s">
        <v>116</v>
      </c>
      <c r="B128" s="13"/>
      <c r="C128" s="13" t="s">
        <v>1087</v>
      </c>
      <c r="D128" s="101" t="s">
        <v>1744</v>
      </c>
      <c r="E128" s="102"/>
      <c r="F128" s="13"/>
      <c r="G128" s="21">
        <v>1</v>
      </c>
      <c r="H128" s="21">
        <v>0</v>
      </c>
      <c r="I128" s="21">
        <f t="shared" si="98"/>
        <v>0</v>
      </c>
      <c r="J128" s="21">
        <f t="shared" si="99"/>
        <v>0</v>
      </c>
      <c r="K128" s="21">
        <f t="shared" si="100"/>
        <v>0</v>
      </c>
      <c r="L128" s="21">
        <v>0</v>
      </c>
      <c r="M128" s="21">
        <f t="shared" si="101"/>
        <v>0</v>
      </c>
      <c r="N128" s="35"/>
      <c r="O128" s="39"/>
      <c r="U128" s="41">
        <f t="shared" si="102"/>
        <v>0</v>
      </c>
      <c r="W128" s="41">
        <f t="shared" si="103"/>
        <v>0</v>
      </c>
      <c r="X128" s="41">
        <f t="shared" si="104"/>
        <v>0</v>
      </c>
      <c r="Y128" s="41">
        <f t="shared" si="105"/>
        <v>0</v>
      </c>
      <c r="Z128" s="41">
        <f t="shared" si="106"/>
        <v>0</v>
      </c>
      <c r="AA128" s="41">
        <f t="shared" si="107"/>
        <v>0</v>
      </c>
      <c r="AB128" s="41">
        <f t="shared" si="108"/>
        <v>0</v>
      </c>
      <c r="AC128" s="41">
        <f t="shared" si="109"/>
        <v>0</v>
      </c>
      <c r="AD128" s="31"/>
      <c r="AE128" s="21">
        <f t="shared" si="110"/>
        <v>0</v>
      </c>
      <c r="AF128" s="21">
        <f t="shared" si="111"/>
        <v>0</v>
      </c>
      <c r="AG128" s="21">
        <f t="shared" si="112"/>
        <v>0</v>
      </c>
      <c r="AI128" s="41">
        <v>21</v>
      </c>
      <c r="AJ128" s="41">
        <f t="shared" si="113"/>
        <v>0</v>
      </c>
      <c r="AK128" s="41">
        <f t="shared" si="114"/>
        <v>0</v>
      </c>
      <c r="AL128" s="42" t="s">
        <v>13</v>
      </c>
      <c r="AQ128" s="41">
        <f t="shared" si="115"/>
        <v>0</v>
      </c>
      <c r="AR128" s="41">
        <f t="shared" si="116"/>
        <v>0</v>
      </c>
      <c r="AS128" s="41">
        <f t="shared" si="117"/>
        <v>0</v>
      </c>
      <c r="AT128" s="44" t="s">
        <v>2434</v>
      </c>
      <c r="AU128" s="44" t="s">
        <v>2480</v>
      </c>
      <c r="AV128" s="31" t="s">
        <v>2486</v>
      </c>
      <c r="AX128" s="41">
        <f t="shared" si="118"/>
        <v>0</v>
      </c>
      <c r="AY128" s="41">
        <f t="shared" si="119"/>
        <v>0</v>
      </c>
      <c r="AZ128" s="41">
        <v>0</v>
      </c>
      <c r="BA128" s="41">
        <f t="shared" si="120"/>
        <v>0</v>
      </c>
      <c r="BC128" s="21">
        <f t="shared" si="121"/>
        <v>0</v>
      </c>
      <c r="BD128" s="21">
        <f t="shared" si="122"/>
        <v>0</v>
      </c>
      <c r="BE128" s="21">
        <f t="shared" si="123"/>
        <v>0</v>
      </c>
      <c r="BF128" s="21" t="s">
        <v>2492</v>
      </c>
      <c r="BG128" s="41">
        <v>721</v>
      </c>
    </row>
    <row r="129" spans="1:59" x14ac:dyDescent="0.3">
      <c r="A129" s="4" t="s">
        <v>117</v>
      </c>
      <c r="B129" s="13"/>
      <c r="C129" s="13" t="s">
        <v>1087</v>
      </c>
      <c r="D129" s="101" t="s">
        <v>1745</v>
      </c>
      <c r="E129" s="102"/>
      <c r="F129" s="13"/>
      <c r="G129" s="21">
        <v>1</v>
      </c>
      <c r="H129" s="21">
        <v>0</v>
      </c>
      <c r="I129" s="21">
        <f t="shared" si="98"/>
        <v>0</v>
      </c>
      <c r="J129" s="21">
        <f t="shared" si="99"/>
        <v>0</v>
      </c>
      <c r="K129" s="21">
        <f t="shared" si="100"/>
        <v>0</v>
      </c>
      <c r="L129" s="21">
        <v>0</v>
      </c>
      <c r="M129" s="21">
        <f t="shared" si="101"/>
        <v>0</v>
      </c>
      <c r="N129" s="35"/>
      <c r="O129" s="39"/>
      <c r="U129" s="41">
        <f t="shared" si="102"/>
        <v>0</v>
      </c>
      <c r="W129" s="41">
        <f t="shared" si="103"/>
        <v>0</v>
      </c>
      <c r="X129" s="41">
        <f t="shared" si="104"/>
        <v>0</v>
      </c>
      <c r="Y129" s="41">
        <f t="shared" si="105"/>
        <v>0</v>
      </c>
      <c r="Z129" s="41">
        <f t="shared" si="106"/>
        <v>0</v>
      </c>
      <c r="AA129" s="41">
        <f t="shared" si="107"/>
        <v>0</v>
      </c>
      <c r="AB129" s="41">
        <f t="shared" si="108"/>
        <v>0</v>
      </c>
      <c r="AC129" s="41">
        <f t="shared" si="109"/>
        <v>0</v>
      </c>
      <c r="AD129" s="31"/>
      <c r="AE129" s="21">
        <f t="shared" si="110"/>
        <v>0</v>
      </c>
      <c r="AF129" s="21">
        <f t="shared" si="111"/>
        <v>0</v>
      </c>
      <c r="AG129" s="21">
        <f t="shared" si="112"/>
        <v>0</v>
      </c>
      <c r="AI129" s="41">
        <v>21</v>
      </c>
      <c r="AJ129" s="41">
        <f t="shared" si="113"/>
        <v>0</v>
      </c>
      <c r="AK129" s="41">
        <f t="shared" si="114"/>
        <v>0</v>
      </c>
      <c r="AL129" s="42" t="s">
        <v>13</v>
      </c>
      <c r="AQ129" s="41">
        <f t="shared" si="115"/>
        <v>0</v>
      </c>
      <c r="AR129" s="41">
        <f t="shared" si="116"/>
        <v>0</v>
      </c>
      <c r="AS129" s="41">
        <f t="shared" si="117"/>
        <v>0</v>
      </c>
      <c r="AT129" s="44" t="s">
        <v>2434</v>
      </c>
      <c r="AU129" s="44" t="s">
        <v>2480</v>
      </c>
      <c r="AV129" s="31" t="s">
        <v>2486</v>
      </c>
      <c r="AX129" s="41">
        <f t="shared" si="118"/>
        <v>0</v>
      </c>
      <c r="AY129" s="41">
        <f t="shared" si="119"/>
        <v>0</v>
      </c>
      <c r="AZ129" s="41">
        <v>0</v>
      </c>
      <c r="BA129" s="41">
        <f t="shared" si="120"/>
        <v>0</v>
      </c>
      <c r="BC129" s="21">
        <f t="shared" si="121"/>
        <v>0</v>
      </c>
      <c r="BD129" s="21">
        <f t="shared" si="122"/>
        <v>0</v>
      </c>
      <c r="BE129" s="21">
        <f t="shared" si="123"/>
        <v>0</v>
      </c>
      <c r="BF129" s="21" t="s">
        <v>2492</v>
      </c>
      <c r="BG129" s="41">
        <v>721</v>
      </c>
    </row>
    <row r="130" spans="1:59" x14ac:dyDescent="0.3">
      <c r="A130" s="4" t="s">
        <v>118</v>
      </c>
      <c r="B130" s="13"/>
      <c r="C130" s="13" t="s">
        <v>1087</v>
      </c>
      <c r="D130" s="101" t="s">
        <v>1746</v>
      </c>
      <c r="E130" s="102"/>
      <c r="F130" s="13"/>
      <c r="G130" s="21">
        <v>1</v>
      </c>
      <c r="H130" s="21">
        <v>0</v>
      </c>
      <c r="I130" s="21">
        <f t="shared" si="98"/>
        <v>0</v>
      </c>
      <c r="J130" s="21">
        <f t="shared" si="99"/>
        <v>0</v>
      </c>
      <c r="K130" s="21">
        <f t="shared" si="100"/>
        <v>0</v>
      </c>
      <c r="L130" s="21">
        <v>0</v>
      </c>
      <c r="M130" s="21">
        <f t="shared" si="101"/>
        <v>0</v>
      </c>
      <c r="N130" s="35"/>
      <c r="O130" s="39"/>
      <c r="U130" s="41">
        <f t="shared" si="102"/>
        <v>0</v>
      </c>
      <c r="W130" s="41">
        <f t="shared" si="103"/>
        <v>0</v>
      </c>
      <c r="X130" s="41">
        <f t="shared" si="104"/>
        <v>0</v>
      </c>
      <c r="Y130" s="41">
        <f t="shared" si="105"/>
        <v>0</v>
      </c>
      <c r="Z130" s="41">
        <f t="shared" si="106"/>
        <v>0</v>
      </c>
      <c r="AA130" s="41">
        <f t="shared" si="107"/>
        <v>0</v>
      </c>
      <c r="AB130" s="41">
        <f t="shared" si="108"/>
        <v>0</v>
      </c>
      <c r="AC130" s="41">
        <f t="shared" si="109"/>
        <v>0</v>
      </c>
      <c r="AD130" s="31"/>
      <c r="AE130" s="21">
        <f t="shared" si="110"/>
        <v>0</v>
      </c>
      <c r="AF130" s="21">
        <f t="shared" si="111"/>
        <v>0</v>
      </c>
      <c r="AG130" s="21">
        <f t="shared" si="112"/>
        <v>0</v>
      </c>
      <c r="AI130" s="41">
        <v>21</v>
      </c>
      <c r="AJ130" s="41">
        <f t="shared" si="113"/>
        <v>0</v>
      </c>
      <c r="AK130" s="41">
        <f t="shared" si="114"/>
        <v>0</v>
      </c>
      <c r="AL130" s="42" t="s">
        <v>13</v>
      </c>
      <c r="AQ130" s="41">
        <f t="shared" si="115"/>
        <v>0</v>
      </c>
      <c r="AR130" s="41">
        <f t="shared" si="116"/>
        <v>0</v>
      </c>
      <c r="AS130" s="41">
        <f t="shared" si="117"/>
        <v>0</v>
      </c>
      <c r="AT130" s="44" t="s">
        <v>2434</v>
      </c>
      <c r="AU130" s="44" t="s">
        <v>2480</v>
      </c>
      <c r="AV130" s="31" t="s">
        <v>2486</v>
      </c>
      <c r="AX130" s="41">
        <f t="shared" si="118"/>
        <v>0</v>
      </c>
      <c r="AY130" s="41">
        <f t="shared" si="119"/>
        <v>0</v>
      </c>
      <c r="AZ130" s="41">
        <v>0</v>
      </c>
      <c r="BA130" s="41">
        <f t="shared" si="120"/>
        <v>0</v>
      </c>
      <c r="BC130" s="21">
        <f t="shared" si="121"/>
        <v>0</v>
      </c>
      <c r="BD130" s="21">
        <f t="shared" si="122"/>
        <v>0</v>
      </c>
      <c r="BE130" s="21">
        <f t="shared" si="123"/>
        <v>0</v>
      </c>
      <c r="BF130" s="21" t="s">
        <v>2492</v>
      </c>
      <c r="BG130" s="41">
        <v>721</v>
      </c>
    </row>
    <row r="131" spans="1:59" x14ac:dyDescent="0.3">
      <c r="A131" s="4" t="s">
        <v>119</v>
      </c>
      <c r="B131" s="13"/>
      <c r="C131" s="13" t="s">
        <v>1087</v>
      </c>
      <c r="D131" s="101" t="s">
        <v>1747</v>
      </c>
      <c r="E131" s="102"/>
      <c r="F131" s="13"/>
      <c r="G131" s="21">
        <v>1</v>
      </c>
      <c r="H131" s="21">
        <v>0</v>
      </c>
      <c r="I131" s="21">
        <f t="shared" si="98"/>
        <v>0</v>
      </c>
      <c r="J131" s="21">
        <f t="shared" si="99"/>
        <v>0</v>
      </c>
      <c r="K131" s="21">
        <f t="shared" si="100"/>
        <v>0</v>
      </c>
      <c r="L131" s="21">
        <v>0</v>
      </c>
      <c r="M131" s="21">
        <f t="shared" si="101"/>
        <v>0</v>
      </c>
      <c r="N131" s="35"/>
      <c r="O131" s="39"/>
      <c r="U131" s="41">
        <f t="shared" si="102"/>
        <v>0</v>
      </c>
      <c r="W131" s="41">
        <f t="shared" si="103"/>
        <v>0</v>
      </c>
      <c r="X131" s="41">
        <f t="shared" si="104"/>
        <v>0</v>
      </c>
      <c r="Y131" s="41">
        <f t="shared" si="105"/>
        <v>0</v>
      </c>
      <c r="Z131" s="41">
        <f t="shared" si="106"/>
        <v>0</v>
      </c>
      <c r="AA131" s="41">
        <f t="shared" si="107"/>
        <v>0</v>
      </c>
      <c r="AB131" s="41">
        <f t="shared" si="108"/>
        <v>0</v>
      </c>
      <c r="AC131" s="41">
        <f t="shared" si="109"/>
        <v>0</v>
      </c>
      <c r="AD131" s="31"/>
      <c r="AE131" s="21">
        <f t="shared" si="110"/>
        <v>0</v>
      </c>
      <c r="AF131" s="21">
        <f t="shared" si="111"/>
        <v>0</v>
      </c>
      <c r="AG131" s="21">
        <f t="shared" si="112"/>
        <v>0</v>
      </c>
      <c r="AI131" s="41">
        <v>21</v>
      </c>
      <c r="AJ131" s="41">
        <f t="shared" si="113"/>
        <v>0</v>
      </c>
      <c r="AK131" s="41">
        <f t="shared" si="114"/>
        <v>0</v>
      </c>
      <c r="AL131" s="42" t="s">
        <v>13</v>
      </c>
      <c r="AQ131" s="41">
        <f t="shared" si="115"/>
        <v>0</v>
      </c>
      <c r="AR131" s="41">
        <f t="shared" si="116"/>
        <v>0</v>
      </c>
      <c r="AS131" s="41">
        <f t="shared" si="117"/>
        <v>0</v>
      </c>
      <c r="AT131" s="44" t="s">
        <v>2434</v>
      </c>
      <c r="AU131" s="44" t="s">
        <v>2480</v>
      </c>
      <c r="AV131" s="31" t="s">
        <v>2486</v>
      </c>
      <c r="AX131" s="41">
        <f t="shared" si="118"/>
        <v>0</v>
      </c>
      <c r="AY131" s="41">
        <f t="shared" si="119"/>
        <v>0</v>
      </c>
      <c r="AZ131" s="41">
        <v>0</v>
      </c>
      <c r="BA131" s="41">
        <f t="shared" si="120"/>
        <v>0</v>
      </c>
      <c r="BC131" s="21">
        <f t="shared" si="121"/>
        <v>0</v>
      </c>
      <c r="BD131" s="21">
        <f t="shared" si="122"/>
        <v>0</v>
      </c>
      <c r="BE131" s="21">
        <f t="shared" si="123"/>
        <v>0</v>
      </c>
      <c r="BF131" s="21" t="s">
        <v>2492</v>
      </c>
      <c r="BG131" s="41">
        <v>721</v>
      </c>
    </row>
    <row r="132" spans="1:59" x14ac:dyDescent="0.3">
      <c r="A132" s="5"/>
      <c r="B132" s="14"/>
      <c r="C132" s="14" t="s">
        <v>1088</v>
      </c>
      <c r="D132" s="103" t="s">
        <v>1748</v>
      </c>
      <c r="E132" s="104"/>
      <c r="F132" s="19" t="s">
        <v>6</v>
      </c>
      <c r="G132" s="19" t="s">
        <v>6</v>
      </c>
      <c r="H132" s="19" t="s">
        <v>6</v>
      </c>
      <c r="I132" s="47">
        <f>SUM(I133:I141)</f>
        <v>0</v>
      </c>
      <c r="J132" s="47">
        <f>SUM(J133:J141)</f>
        <v>0</v>
      </c>
      <c r="K132" s="47">
        <f>SUM(K133:K141)</f>
        <v>0</v>
      </c>
      <c r="L132" s="31"/>
      <c r="M132" s="47">
        <f>SUM(M133:M141)</f>
        <v>3.5355099999999999</v>
      </c>
      <c r="N132" s="36"/>
      <c r="O132" s="39"/>
      <c r="AD132" s="31"/>
      <c r="AN132" s="47">
        <f>SUM(AE133:AE141)</f>
        <v>0</v>
      </c>
      <c r="AO132" s="47">
        <f>SUM(AF133:AF141)</f>
        <v>0</v>
      </c>
      <c r="AP132" s="47">
        <f>SUM(AG133:AG141)</f>
        <v>0</v>
      </c>
    </row>
    <row r="133" spans="1:59" x14ac:dyDescent="0.3">
      <c r="A133" s="4" t="s">
        <v>120</v>
      </c>
      <c r="B133" s="13"/>
      <c r="C133" s="13" t="s">
        <v>1089</v>
      </c>
      <c r="D133" s="101" t="s">
        <v>1749</v>
      </c>
      <c r="E133" s="102"/>
      <c r="F133" s="13" t="s">
        <v>2385</v>
      </c>
      <c r="G133" s="21">
        <v>392</v>
      </c>
      <c r="H133" s="21">
        <v>0</v>
      </c>
      <c r="I133" s="21">
        <f t="shared" ref="I133:I141" si="124">G133*AJ133</f>
        <v>0</v>
      </c>
      <c r="J133" s="21">
        <f t="shared" ref="J133:J141" si="125">G133*AK133</f>
        <v>0</v>
      </c>
      <c r="K133" s="21">
        <f t="shared" ref="K133:K141" si="126">G133*H133</f>
        <v>0</v>
      </c>
      <c r="L133" s="21">
        <v>1.33E-3</v>
      </c>
      <c r="M133" s="21">
        <f t="shared" ref="M133:M141" si="127">G133*L133</f>
        <v>0.52136000000000005</v>
      </c>
      <c r="N133" s="35" t="s">
        <v>2417</v>
      </c>
      <c r="O133" s="39"/>
      <c r="U133" s="41">
        <f t="shared" ref="U133:U141" si="128">IF(AL133="5",BE133,0)</f>
        <v>0</v>
      </c>
      <c r="W133" s="41">
        <f t="shared" ref="W133:W141" si="129">IF(AL133="1",BC133,0)</f>
        <v>0</v>
      </c>
      <c r="X133" s="41">
        <f t="shared" ref="X133:X141" si="130">IF(AL133="1",BD133,0)</f>
        <v>0</v>
      </c>
      <c r="Y133" s="41">
        <f t="shared" ref="Y133:Y141" si="131">IF(AL133="7",BC133,0)</f>
        <v>0</v>
      </c>
      <c r="Z133" s="41">
        <f t="shared" ref="Z133:Z141" si="132">IF(AL133="7",BD133,0)</f>
        <v>0</v>
      </c>
      <c r="AA133" s="41">
        <f t="shared" ref="AA133:AA141" si="133">IF(AL133="2",BC133,0)</f>
        <v>0</v>
      </c>
      <c r="AB133" s="41">
        <f t="shared" ref="AB133:AB141" si="134">IF(AL133="2",BD133,0)</f>
        <v>0</v>
      </c>
      <c r="AC133" s="41">
        <f t="shared" ref="AC133:AC141" si="135">IF(AL133="0",BE133,0)</f>
        <v>0</v>
      </c>
      <c r="AD133" s="31"/>
      <c r="AE133" s="21">
        <f t="shared" ref="AE133:AE141" si="136">IF(AI133=0,K133,0)</f>
        <v>0</v>
      </c>
      <c r="AF133" s="21">
        <f t="shared" ref="AF133:AF141" si="137">IF(AI133=15,K133,0)</f>
        <v>0</v>
      </c>
      <c r="AG133" s="21">
        <f t="shared" ref="AG133:AG141" si="138">IF(AI133=21,K133,0)</f>
        <v>0</v>
      </c>
      <c r="AI133" s="41">
        <v>21</v>
      </c>
      <c r="AJ133" s="41">
        <f>H133*0.663967889908257</f>
        <v>0</v>
      </c>
      <c r="AK133" s="41">
        <f>H133*(1-0.663967889908257)</f>
        <v>0</v>
      </c>
      <c r="AL133" s="42" t="s">
        <v>13</v>
      </c>
      <c r="AQ133" s="41">
        <f t="shared" ref="AQ133:AQ141" si="139">AR133+AS133</f>
        <v>0</v>
      </c>
      <c r="AR133" s="41">
        <f t="shared" ref="AR133:AR141" si="140">G133*AJ133</f>
        <v>0</v>
      </c>
      <c r="AS133" s="41">
        <f t="shared" ref="AS133:AS141" si="141">G133*AK133</f>
        <v>0</v>
      </c>
      <c r="AT133" s="44" t="s">
        <v>2435</v>
      </c>
      <c r="AU133" s="44" t="s">
        <v>2480</v>
      </c>
      <c r="AV133" s="31" t="s">
        <v>2486</v>
      </c>
      <c r="AX133" s="41">
        <f t="shared" ref="AX133:AX141" si="142">AR133+AS133</f>
        <v>0</v>
      </c>
      <c r="AY133" s="41">
        <f t="shared" ref="AY133:AY141" si="143">H133/(100-AZ133)*100</f>
        <v>0</v>
      </c>
      <c r="AZ133" s="41">
        <v>0</v>
      </c>
      <c r="BA133" s="41">
        <f t="shared" ref="BA133:BA141" si="144">M133</f>
        <v>0.52136000000000005</v>
      </c>
      <c r="BC133" s="21">
        <f t="shared" ref="BC133:BC141" si="145">G133*AJ133</f>
        <v>0</v>
      </c>
      <c r="BD133" s="21">
        <f t="shared" ref="BD133:BD141" si="146">G133*AK133</f>
        <v>0</v>
      </c>
      <c r="BE133" s="21">
        <f t="shared" ref="BE133:BE141" si="147">G133*H133</f>
        <v>0</v>
      </c>
      <c r="BF133" s="21" t="s">
        <v>2492</v>
      </c>
      <c r="BG133" s="41">
        <v>7221</v>
      </c>
    </row>
    <row r="134" spans="1:59" x14ac:dyDescent="0.3">
      <c r="A134" s="4" t="s">
        <v>121</v>
      </c>
      <c r="B134" s="13"/>
      <c r="C134" s="13" t="s">
        <v>1090</v>
      </c>
      <c r="D134" s="101" t="s">
        <v>1750</v>
      </c>
      <c r="E134" s="102"/>
      <c r="F134" s="13" t="s">
        <v>2385</v>
      </c>
      <c r="G134" s="21">
        <v>56</v>
      </c>
      <c r="H134" s="21">
        <v>0</v>
      </c>
      <c r="I134" s="21">
        <f t="shared" si="124"/>
        <v>0</v>
      </c>
      <c r="J134" s="21">
        <f t="shared" si="125"/>
        <v>0</v>
      </c>
      <c r="K134" s="21">
        <f t="shared" si="126"/>
        <v>0</v>
      </c>
      <c r="L134" s="21">
        <v>1.6199999999999999E-3</v>
      </c>
      <c r="M134" s="21">
        <f t="shared" si="127"/>
        <v>9.0719999999999995E-2</v>
      </c>
      <c r="N134" s="35" t="s">
        <v>2417</v>
      </c>
      <c r="O134" s="39"/>
      <c r="U134" s="41">
        <f t="shared" si="128"/>
        <v>0</v>
      </c>
      <c r="W134" s="41">
        <f t="shared" si="129"/>
        <v>0</v>
      </c>
      <c r="X134" s="41">
        <f t="shared" si="130"/>
        <v>0</v>
      </c>
      <c r="Y134" s="41">
        <f t="shared" si="131"/>
        <v>0</v>
      </c>
      <c r="Z134" s="41">
        <f t="shared" si="132"/>
        <v>0</v>
      </c>
      <c r="AA134" s="41">
        <f t="shared" si="133"/>
        <v>0</v>
      </c>
      <c r="AB134" s="41">
        <f t="shared" si="134"/>
        <v>0</v>
      </c>
      <c r="AC134" s="41">
        <f t="shared" si="135"/>
        <v>0</v>
      </c>
      <c r="AD134" s="31"/>
      <c r="AE134" s="21">
        <f t="shared" si="136"/>
        <v>0</v>
      </c>
      <c r="AF134" s="21">
        <f t="shared" si="137"/>
        <v>0</v>
      </c>
      <c r="AG134" s="21">
        <f t="shared" si="138"/>
        <v>0</v>
      </c>
      <c r="AI134" s="41">
        <v>21</v>
      </c>
      <c r="AJ134" s="41">
        <f>H134*0.723199379416179</f>
        <v>0</v>
      </c>
      <c r="AK134" s="41">
        <f>H134*(1-0.723199379416179)</f>
        <v>0</v>
      </c>
      <c r="AL134" s="42" t="s">
        <v>13</v>
      </c>
      <c r="AQ134" s="41">
        <f t="shared" si="139"/>
        <v>0</v>
      </c>
      <c r="AR134" s="41">
        <f t="shared" si="140"/>
        <v>0</v>
      </c>
      <c r="AS134" s="41">
        <f t="shared" si="141"/>
        <v>0</v>
      </c>
      <c r="AT134" s="44" t="s">
        <v>2435</v>
      </c>
      <c r="AU134" s="44" t="s">
        <v>2480</v>
      </c>
      <c r="AV134" s="31" t="s">
        <v>2486</v>
      </c>
      <c r="AX134" s="41">
        <f t="shared" si="142"/>
        <v>0</v>
      </c>
      <c r="AY134" s="41">
        <f t="shared" si="143"/>
        <v>0</v>
      </c>
      <c r="AZ134" s="41">
        <v>0</v>
      </c>
      <c r="BA134" s="41">
        <f t="shared" si="144"/>
        <v>9.0719999999999995E-2</v>
      </c>
      <c r="BC134" s="21">
        <f t="shared" si="145"/>
        <v>0</v>
      </c>
      <c r="BD134" s="21">
        <f t="shared" si="146"/>
        <v>0</v>
      </c>
      <c r="BE134" s="21">
        <f t="shared" si="147"/>
        <v>0</v>
      </c>
      <c r="BF134" s="21" t="s">
        <v>2492</v>
      </c>
      <c r="BG134" s="41">
        <v>7221</v>
      </c>
    </row>
    <row r="135" spans="1:59" x14ac:dyDescent="0.3">
      <c r="A135" s="4" t="s">
        <v>122</v>
      </c>
      <c r="B135" s="13"/>
      <c r="C135" s="13" t="s">
        <v>1091</v>
      </c>
      <c r="D135" s="101" t="s">
        <v>1751</v>
      </c>
      <c r="E135" s="102"/>
      <c r="F135" s="13" t="s">
        <v>2385</v>
      </c>
      <c r="G135" s="21">
        <v>1</v>
      </c>
      <c r="H135" s="21">
        <v>0</v>
      </c>
      <c r="I135" s="21">
        <f t="shared" si="124"/>
        <v>0</v>
      </c>
      <c r="J135" s="21">
        <f t="shared" si="125"/>
        <v>0</v>
      </c>
      <c r="K135" s="21">
        <f t="shared" si="126"/>
        <v>0</v>
      </c>
      <c r="L135" s="21">
        <v>1.9300000000000001E-3</v>
      </c>
      <c r="M135" s="21">
        <f t="shared" si="127"/>
        <v>1.9300000000000001E-3</v>
      </c>
      <c r="N135" s="35" t="s">
        <v>2417</v>
      </c>
      <c r="O135" s="39"/>
      <c r="U135" s="41">
        <f t="shared" si="128"/>
        <v>0</v>
      </c>
      <c r="W135" s="41">
        <f t="shared" si="129"/>
        <v>0</v>
      </c>
      <c r="X135" s="41">
        <f t="shared" si="130"/>
        <v>0</v>
      </c>
      <c r="Y135" s="41">
        <f t="shared" si="131"/>
        <v>0</v>
      </c>
      <c r="Z135" s="41">
        <f t="shared" si="132"/>
        <v>0</v>
      </c>
      <c r="AA135" s="41">
        <f t="shared" si="133"/>
        <v>0</v>
      </c>
      <c r="AB135" s="41">
        <f t="shared" si="134"/>
        <v>0</v>
      </c>
      <c r="AC135" s="41">
        <f t="shared" si="135"/>
        <v>0</v>
      </c>
      <c r="AD135" s="31"/>
      <c r="AE135" s="21">
        <f t="shared" si="136"/>
        <v>0</v>
      </c>
      <c r="AF135" s="21">
        <f t="shared" si="137"/>
        <v>0</v>
      </c>
      <c r="AG135" s="21">
        <f t="shared" si="138"/>
        <v>0</v>
      </c>
      <c r="AI135" s="41">
        <v>21</v>
      </c>
      <c r="AJ135" s="41">
        <f>H135*0.768755074424899</f>
        <v>0</v>
      </c>
      <c r="AK135" s="41">
        <f>H135*(1-0.768755074424899)</f>
        <v>0</v>
      </c>
      <c r="AL135" s="42" t="s">
        <v>13</v>
      </c>
      <c r="AQ135" s="41">
        <f t="shared" si="139"/>
        <v>0</v>
      </c>
      <c r="AR135" s="41">
        <f t="shared" si="140"/>
        <v>0</v>
      </c>
      <c r="AS135" s="41">
        <f t="shared" si="141"/>
        <v>0</v>
      </c>
      <c r="AT135" s="44" t="s">
        <v>2435</v>
      </c>
      <c r="AU135" s="44" t="s">
        <v>2480</v>
      </c>
      <c r="AV135" s="31" t="s">
        <v>2486</v>
      </c>
      <c r="AX135" s="41">
        <f t="shared" si="142"/>
        <v>0</v>
      </c>
      <c r="AY135" s="41">
        <f t="shared" si="143"/>
        <v>0</v>
      </c>
      <c r="AZ135" s="41">
        <v>0</v>
      </c>
      <c r="BA135" s="41">
        <f t="shared" si="144"/>
        <v>1.9300000000000001E-3</v>
      </c>
      <c r="BC135" s="21">
        <f t="shared" si="145"/>
        <v>0</v>
      </c>
      <c r="BD135" s="21">
        <f t="shared" si="146"/>
        <v>0</v>
      </c>
      <c r="BE135" s="21">
        <f t="shared" si="147"/>
        <v>0</v>
      </c>
      <c r="BF135" s="21" t="s">
        <v>2492</v>
      </c>
      <c r="BG135" s="41">
        <v>7221</v>
      </c>
    </row>
    <row r="136" spans="1:59" x14ac:dyDescent="0.3">
      <c r="A136" s="4" t="s">
        <v>123</v>
      </c>
      <c r="B136" s="13"/>
      <c r="C136" s="13" t="s">
        <v>1092</v>
      </c>
      <c r="D136" s="101" t="s">
        <v>1752</v>
      </c>
      <c r="E136" s="102"/>
      <c r="F136" s="13" t="s">
        <v>2385</v>
      </c>
      <c r="G136" s="21">
        <v>185</v>
      </c>
      <c r="H136" s="21">
        <v>0</v>
      </c>
      <c r="I136" s="21">
        <f t="shared" si="124"/>
        <v>0</v>
      </c>
      <c r="J136" s="21">
        <f t="shared" si="125"/>
        <v>0</v>
      </c>
      <c r="K136" s="21">
        <f t="shared" si="126"/>
        <v>0</v>
      </c>
      <c r="L136" s="21">
        <v>6.8999999999999999E-3</v>
      </c>
      <c r="M136" s="21">
        <f t="shared" si="127"/>
        <v>1.2765</v>
      </c>
      <c r="N136" s="35" t="s">
        <v>2417</v>
      </c>
      <c r="O136" s="39"/>
      <c r="U136" s="41">
        <f t="shared" si="128"/>
        <v>0</v>
      </c>
      <c r="W136" s="41">
        <f t="shared" si="129"/>
        <v>0</v>
      </c>
      <c r="X136" s="41">
        <f t="shared" si="130"/>
        <v>0</v>
      </c>
      <c r="Y136" s="41">
        <f t="shared" si="131"/>
        <v>0</v>
      </c>
      <c r="Z136" s="41">
        <f t="shared" si="132"/>
        <v>0</v>
      </c>
      <c r="AA136" s="41">
        <f t="shared" si="133"/>
        <v>0</v>
      </c>
      <c r="AB136" s="41">
        <f t="shared" si="134"/>
        <v>0</v>
      </c>
      <c r="AC136" s="41">
        <f t="shared" si="135"/>
        <v>0</v>
      </c>
      <c r="AD136" s="31"/>
      <c r="AE136" s="21">
        <f t="shared" si="136"/>
        <v>0</v>
      </c>
      <c r="AF136" s="21">
        <f t="shared" si="137"/>
        <v>0</v>
      </c>
      <c r="AG136" s="21">
        <f t="shared" si="138"/>
        <v>0</v>
      </c>
      <c r="AI136" s="41">
        <v>21</v>
      </c>
      <c r="AJ136" s="41">
        <f>H136*0.838056926921436</f>
        <v>0</v>
      </c>
      <c r="AK136" s="41">
        <f>H136*(1-0.838056926921436)</f>
        <v>0</v>
      </c>
      <c r="AL136" s="42" t="s">
        <v>13</v>
      </c>
      <c r="AQ136" s="41">
        <f t="shared" si="139"/>
        <v>0</v>
      </c>
      <c r="AR136" s="41">
        <f t="shared" si="140"/>
        <v>0</v>
      </c>
      <c r="AS136" s="41">
        <f t="shared" si="141"/>
        <v>0</v>
      </c>
      <c r="AT136" s="44" t="s">
        <v>2435</v>
      </c>
      <c r="AU136" s="44" t="s">
        <v>2480</v>
      </c>
      <c r="AV136" s="31" t="s">
        <v>2486</v>
      </c>
      <c r="AX136" s="41">
        <f t="shared" si="142"/>
        <v>0</v>
      </c>
      <c r="AY136" s="41">
        <f t="shared" si="143"/>
        <v>0</v>
      </c>
      <c r="AZ136" s="41">
        <v>0</v>
      </c>
      <c r="BA136" s="41">
        <f t="shared" si="144"/>
        <v>1.2765</v>
      </c>
      <c r="BC136" s="21">
        <f t="shared" si="145"/>
        <v>0</v>
      </c>
      <c r="BD136" s="21">
        <f t="shared" si="146"/>
        <v>0</v>
      </c>
      <c r="BE136" s="21">
        <f t="shared" si="147"/>
        <v>0</v>
      </c>
      <c r="BF136" s="21" t="s">
        <v>2492</v>
      </c>
      <c r="BG136" s="41">
        <v>7221</v>
      </c>
    </row>
    <row r="137" spans="1:59" x14ac:dyDescent="0.3">
      <c r="A137" s="4" t="s">
        <v>124</v>
      </c>
      <c r="B137" s="13"/>
      <c r="C137" s="13" t="s">
        <v>1093</v>
      </c>
      <c r="D137" s="101" t="s">
        <v>1753</v>
      </c>
      <c r="E137" s="102"/>
      <c r="F137" s="13" t="s">
        <v>2390</v>
      </c>
      <c r="G137" s="21">
        <v>1</v>
      </c>
      <c r="H137" s="21">
        <v>0</v>
      </c>
      <c r="I137" s="21">
        <f t="shared" si="124"/>
        <v>0</v>
      </c>
      <c r="J137" s="21">
        <f t="shared" si="125"/>
        <v>0</v>
      </c>
      <c r="K137" s="21">
        <f t="shared" si="126"/>
        <v>0</v>
      </c>
      <c r="L137" s="21">
        <v>0</v>
      </c>
      <c r="M137" s="21">
        <f t="shared" si="127"/>
        <v>0</v>
      </c>
      <c r="N137" s="35" t="s">
        <v>2417</v>
      </c>
      <c r="O137" s="39"/>
      <c r="U137" s="41">
        <f t="shared" si="128"/>
        <v>0</v>
      </c>
      <c r="W137" s="41">
        <f t="shared" si="129"/>
        <v>0</v>
      </c>
      <c r="X137" s="41">
        <f t="shared" si="130"/>
        <v>0</v>
      </c>
      <c r="Y137" s="41">
        <f t="shared" si="131"/>
        <v>0</v>
      </c>
      <c r="Z137" s="41">
        <f t="shared" si="132"/>
        <v>0</v>
      </c>
      <c r="AA137" s="41">
        <f t="shared" si="133"/>
        <v>0</v>
      </c>
      <c r="AB137" s="41">
        <f t="shared" si="134"/>
        <v>0</v>
      </c>
      <c r="AC137" s="41">
        <f t="shared" si="135"/>
        <v>0</v>
      </c>
      <c r="AD137" s="31"/>
      <c r="AE137" s="21">
        <f t="shared" si="136"/>
        <v>0</v>
      </c>
      <c r="AF137" s="21">
        <f t="shared" si="137"/>
        <v>0</v>
      </c>
      <c r="AG137" s="21">
        <f t="shared" si="138"/>
        <v>0</v>
      </c>
      <c r="AI137" s="41">
        <v>21</v>
      </c>
      <c r="AJ137" s="41">
        <f>H137*0</f>
        <v>0</v>
      </c>
      <c r="AK137" s="41">
        <f>H137*(1-0)</f>
        <v>0</v>
      </c>
      <c r="AL137" s="42" t="s">
        <v>13</v>
      </c>
      <c r="AQ137" s="41">
        <f t="shared" si="139"/>
        <v>0</v>
      </c>
      <c r="AR137" s="41">
        <f t="shared" si="140"/>
        <v>0</v>
      </c>
      <c r="AS137" s="41">
        <f t="shared" si="141"/>
        <v>0</v>
      </c>
      <c r="AT137" s="44" t="s">
        <v>2435</v>
      </c>
      <c r="AU137" s="44" t="s">
        <v>2480</v>
      </c>
      <c r="AV137" s="31" t="s">
        <v>2486</v>
      </c>
      <c r="AX137" s="41">
        <f t="shared" si="142"/>
        <v>0</v>
      </c>
      <c r="AY137" s="41">
        <f t="shared" si="143"/>
        <v>0</v>
      </c>
      <c r="AZ137" s="41">
        <v>0</v>
      </c>
      <c r="BA137" s="41">
        <f t="shared" si="144"/>
        <v>0</v>
      </c>
      <c r="BC137" s="21">
        <f t="shared" si="145"/>
        <v>0</v>
      </c>
      <c r="BD137" s="21">
        <f t="shared" si="146"/>
        <v>0</v>
      </c>
      <c r="BE137" s="21">
        <f t="shared" si="147"/>
        <v>0</v>
      </c>
      <c r="BF137" s="21" t="s">
        <v>2492</v>
      </c>
      <c r="BG137" s="41">
        <v>7221</v>
      </c>
    </row>
    <row r="138" spans="1:59" x14ac:dyDescent="0.3">
      <c r="A138" s="4" t="s">
        <v>125</v>
      </c>
      <c r="B138" s="13"/>
      <c r="C138" s="13" t="s">
        <v>1094</v>
      </c>
      <c r="D138" s="101" t="s">
        <v>1754</v>
      </c>
      <c r="E138" s="102"/>
      <c r="F138" s="13" t="s">
        <v>2386</v>
      </c>
      <c r="G138" s="21">
        <v>8</v>
      </c>
      <c r="H138" s="21">
        <v>0</v>
      </c>
      <c r="I138" s="21">
        <f t="shared" si="124"/>
        <v>0</v>
      </c>
      <c r="J138" s="21">
        <f t="shared" si="125"/>
        <v>0</v>
      </c>
      <c r="K138" s="21">
        <f t="shared" si="126"/>
        <v>0</v>
      </c>
      <c r="L138" s="21">
        <v>2E-3</v>
      </c>
      <c r="M138" s="21">
        <f t="shared" si="127"/>
        <v>1.6E-2</v>
      </c>
      <c r="N138" s="35" t="s">
        <v>2417</v>
      </c>
      <c r="O138" s="39"/>
      <c r="U138" s="41">
        <f t="shared" si="128"/>
        <v>0</v>
      </c>
      <c r="W138" s="41">
        <f t="shared" si="129"/>
        <v>0</v>
      </c>
      <c r="X138" s="41">
        <f t="shared" si="130"/>
        <v>0</v>
      </c>
      <c r="Y138" s="41">
        <f t="shared" si="131"/>
        <v>0</v>
      </c>
      <c r="Z138" s="41">
        <f t="shared" si="132"/>
        <v>0</v>
      </c>
      <c r="AA138" s="41">
        <f t="shared" si="133"/>
        <v>0</v>
      </c>
      <c r="AB138" s="41">
        <f t="shared" si="134"/>
        <v>0</v>
      </c>
      <c r="AC138" s="41">
        <f t="shared" si="135"/>
        <v>0</v>
      </c>
      <c r="AD138" s="31"/>
      <c r="AE138" s="21">
        <f t="shared" si="136"/>
        <v>0</v>
      </c>
      <c r="AF138" s="21">
        <f t="shared" si="137"/>
        <v>0</v>
      </c>
      <c r="AG138" s="21">
        <f t="shared" si="138"/>
        <v>0</v>
      </c>
      <c r="AI138" s="41">
        <v>21</v>
      </c>
      <c r="AJ138" s="41">
        <f>H138*0.625</f>
        <v>0</v>
      </c>
      <c r="AK138" s="41">
        <f>H138*(1-0.625)</f>
        <v>0</v>
      </c>
      <c r="AL138" s="42" t="s">
        <v>13</v>
      </c>
      <c r="AQ138" s="41">
        <f t="shared" si="139"/>
        <v>0</v>
      </c>
      <c r="AR138" s="41">
        <f t="shared" si="140"/>
        <v>0</v>
      </c>
      <c r="AS138" s="41">
        <f t="shared" si="141"/>
        <v>0</v>
      </c>
      <c r="AT138" s="44" t="s">
        <v>2435</v>
      </c>
      <c r="AU138" s="44" t="s">
        <v>2480</v>
      </c>
      <c r="AV138" s="31" t="s">
        <v>2486</v>
      </c>
      <c r="AX138" s="41">
        <f t="shared" si="142"/>
        <v>0</v>
      </c>
      <c r="AY138" s="41">
        <f t="shared" si="143"/>
        <v>0</v>
      </c>
      <c r="AZ138" s="41">
        <v>0</v>
      </c>
      <c r="BA138" s="41">
        <f t="shared" si="144"/>
        <v>1.6E-2</v>
      </c>
      <c r="BC138" s="21">
        <f t="shared" si="145"/>
        <v>0</v>
      </c>
      <c r="BD138" s="21">
        <f t="shared" si="146"/>
        <v>0</v>
      </c>
      <c r="BE138" s="21">
        <f t="shared" si="147"/>
        <v>0</v>
      </c>
      <c r="BF138" s="21" t="s">
        <v>2492</v>
      </c>
      <c r="BG138" s="41">
        <v>7221</v>
      </c>
    </row>
    <row r="139" spans="1:59" x14ac:dyDescent="0.3">
      <c r="A139" s="4" t="s">
        <v>126</v>
      </c>
      <c r="B139" s="13"/>
      <c r="C139" s="13" t="s">
        <v>1095</v>
      </c>
      <c r="D139" s="101" t="s">
        <v>1755</v>
      </c>
      <c r="E139" s="102"/>
      <c r="F139" s="13" t="s">
        <v>2391</v>
      </c>
      <c r="G139" s="21">
        <v>90</v>
      </c>
      <c r="H139" s="21">
        <v>0</v>
      </c>
      <c r="I139" s="21">
        <f t="shared" si="124"/>
        <v>0</v>
      </c>
      <c r="J139" s="21">
        <f t="shared" si="125"/>
        <v>0</v>
      </c>
      <c r="K139" s="21">
        <f t="shared" si="126"/>
        <v>0</v>
      </c>
      <c r="L139" s="21">
        <v>8.9999999999999993E-3</v>
      </c>
      <c r="M139" s="21">
        <f t="shared" si="127"/>
        <v>0.80999999999999994</v>
      </c>
      <c r="N139" s="35" t="s">
        <v>2417</v>
      </c>
      <c r="O139" s="39"/>
      <c r="U139" s="41">
        <f t="shared" si="128"/>
        <v>0</v>
      </c>
      <c r="W139" s="41">
        <f t="shared" si="129"/>
        <v>0</v>
      </c>
      <c r="X139" s="41">
        <f t="shared" si="130"/>
        <v>0</v>
      </c>
      <c r="Y139" s="41">
        <f t="shared" si="131"/>
        <v>0</v>
      </c>
      <c r="Z139" s="41">
        <f t="shared" si="132"/>
        <v>0</v>
      </c>
      <c r="AA139" s="41">
        <f t="shared" si="133"/>
        <v>0</v>
      </c>
      <c r="AB139" s="41">
        <f t="shared" si="134"/>
        <v>0</v>
      </c>
      <c r="AC139" s="41">
        <f t="shared" si="135"/>
        <v>0</v>
      </c>
      <c r="AD139" s="31"/>
      <c r="AE139" s="21">
        <f t="shared" si="136"/>
        <v>0</v>
      </c>
      <c r="AF139" s="21">
        <f t="shared" si="137"/>
        <v>0</v>
      </c>
      <c r="AG139" s="21">
        <f t="shared" si="138"/>
        <v>0</v>
      </c>
      <c r="AI139" s="41">
        <v>21</v>
      </c>
      <c r="AJ139" s="41">
        <f>H139*0.885136842105263</f>
        <v>0</v>
      </c>
      <c r="AK139" s="41">
        <f>H139*(1-0.885136842105263)</f>
        <v>0</v>
      </c>
      <c r="AL139" s="42" t="s">
        <v>13</v>
      </c>
      <c r="AQ139" s="41">
        <f t="shared" si="139"/>
        <v>0</v>
      </c>
      <c r="AR139" s="41">
        <f t="shared" si="140"/>
        <v>0</v>
      </c>
      <c r="AS139" s="41">
        <f t="shared" si="141"/>
        <v>0</v>
      </c>
      <c r="AT139" s="44" t="s">
        <v>2435</v>
      </c>
      <c r="AU139" s="44" t="s">
        <v>2480</v>
      </c>
      <c r="AV139" s="31" t="s">
        <v>2486</v>
      </c>
      <c r="AX139" s="41">
        <f t="shared" si="142"/>
        <v>0</v>
      </c>
      <c r="AY139" s="41">
        <f t="shared" si="143"/>
        <v>0</v>
      </c>
      <c r="AZ139" s="41">
        <v>0</v>
      </c>
      <c r="BA139" s="41">
        <f t="shared" si="144"/>
        <v>0.80999999999999994</v>
      </c>
      <c r="BC139" s="21">
        <f t="shared" si="145"/>
        <v>0</v>
      </c>
      <c r="BD139" s="21">
        <f t="shared" si="146"/>
        <v>0</v>
      </c>
      <c r="BE139" s="21">
        <f t="shared" si="147"/>
        <v>0</v>
      </c>
      <c r="BF139" s="21" t="s">
        <v>2492</v>
      </c>
      <c r="BG139" s="41">
        <v>7221</v>
      </c>
    </row>
    <row r="140" spans="1:59" x14ac:dyDescent="0.3">
      <c r="A140" s="4" t="s">
        <v>127</v>
      </c>
      <c r="B140" s="13"/>
      <c r="C140" s="13" t="s">
        <v>1096</v>
      </c>
      <c r="D140" s="101" t="s">
        <v>1756</v>
      </c>
      <c r="E140" s="102"/>
      <c r="F140" s="13" t="s">
        <v>2391</v>
      </c>
      <c r="G140" s="21">
        <v>35</v>
      </c>
      <c r="H140" s="21">
        <v>0</v>
      </c>
      <c r="I140" s="21">
        <f t="shared" si="124"/>
        <v>0</v>
      </c>
      <c r="J140" s="21">
        <f t="shared" si="125"/>
        <v>0</v>
      </c>
      <c r="K140" s="21">
        <f t="shared" si="126"/>
        <v>0</v>
      </c>
      <c r="L140" s="21">
        <v>8.9999999999999993E-3</v>
      </c>
      <c r="M140" s="21">
        <f t="shared" si="127"/>
        <v>0.315</v>
      </c>
      <c r="N140" s="35" t="s">
        <v>2417</v>
      </c>
      <c r="O140" s="39"/>
      <c r="U140" s="41">
        <f t="shared" si="128"/>
        <v>0</v>
      </c>
      <c r="W140" s="41">
        <f t="shared" si="129"/>
        <v>0</v>
      </c>
      <c r="X140" s="41">
        <f t="shared" si="130"/>
        <v>0</v>
      </c>
      <c r="Y140" s="41">
        <f t="shared" si="131"/>
        <v>0</v>
      </c>
      <c r="Z140" s="41">
        <f t="shared" si="132"/>
        <v>0</v>
      </c>
      <c r="AA140" s="41">
        <f t="shared" si="133"/>
        <v>0</v>
      </c>
      <c r="AB140" s="41">
        <f t="shared" si="134"/>
        <v>0</v>
      </c>
      <c r="AC140" s="41">
        <f t="shared" si="135"/>
        <v>0</v>
      </c>
      <c r="AD140" s="31"/>
      <c r="AE140" s="21">
        <f t="shared" si="136"/>
        <v>0</v>
      </c>
      <c r="AF140" s="21">
        <f t="shared" si="137"/>
        <v>0</v>
      </c>
      <c r="AG140" s="21">
        <f t="shared" si="138"/>
        <v>0</v>
      </c>
      <c r="AI140" s="41">
        <v>21</v>
      </c>
      <c r="AJ140" s="41">
        <f>H140*0.885136842105263</f>
        <v>0</v>
      </c>
      <c r="AK140" s="41">
        <f>H140*(1-0.885136842105263)</f>
        <v>0</v>
      </c>
      <c r="AL140" s="42" t="s">
        <v>13</v>
      </c>
      <c r="AQ140" s="41">
        <f t="shared" si="139"/>
        <v>0</v>
      </c>
      <c r="AR140" s="41">
        <f t="shared" si="140"/>
        <v>0</v>
      </c>
      <c r="AS140" s="41">
        <f t="shared" si="141"/>
        <v>0</v>
      </c>
      <c r="AT140" s="44" t="s">
        <v>2435</v>
      </c>
      <c r="AU140" s="44" t="s">
        <v>2480</v>
      </c>
      <c r="AV140" s="31" t="s">
        <v>2486</v>
      </c>
      <c r="AX140" s="41">
        <f t="shared" si="142"/>
        <v>0</v>
      </c>
      <c r="AY140" s="41">
        <f t="shared" si="143"/>
        <v>0</v>
      </c>
      <c r="AZ140" s="41">
        <v>0</v>
      </c>
      <c r="BA140" s="41">
        <f t="shared" si="144"/>
        <v>0.315</v>
      </c>
      <c r="BC140" s="21">
        <f t="shared" si="145"/>
        <v>0</v>
      </c>
      <c r="BD140" s="21">
        <f t="shared" si="146"/>
        <v>0</v>
      </c>
      <c r="BE140" s="21">
        <f t="shared" si="147"/>
        <v>0</v>
      </c>
      <c r="BF140" s="21" t="s">
        <v>2492</v>
      </c>
      <c r="BG140" s="41">
        <v>7221</v>
      </c>
    </row>
    <row r="141" spans="1:59" x14ac:dyDescent="0.3">
      <c r="A141" s="4" t="s">
        <v>128</v>
      </c>
      <c r="B141" s="13"/>
      <c r="C141" s="13" t="s">
        <v>1097</v>
      </c>
      <c r="D141" s="101" t="s">
        <v>1757</v>
      </c>
      <c r="E141" s="102"/>
      <c r="F141" s="13" t="s">
        <v>2391</v>
      </c>
      <c r="G141" s="21">
        <v>56</v>
      </c>
      <c r="H141" s="21">
        <v>0</v>
      </c>
      <c r="I141" s="21">
        <f t="shared" si="124"/>
        <v>0</v>
      </c>
      <c r="J141" s="21">
        <f t="shared" si="125"/>
        <v>0</v>
      </c>
      <c r="K141" s="21">
        <f t="shared" si="126"/>
        <v>0</v>
      </c>
      <c r="L141" s="21">
        <v>8.9999999999999993E-3</v>
      </c>
      <c r="M141" s="21">
        <f t="shared" si="127"/>
        <v>0.504</v>
      </c>
      <c r="N141" s="35" t="s">
        <v>2417</v>
      </c>
      <c r="O141" s="39"/>
      <c r="U141" s="41">
        <f t="shared" si="128"/>
        <v>0</v>
      </c>
      <c r="W141" s="41">
        <f t="shared" si="129"/>
        <v>0</v>
      </c>
      <c r="X141" s="41">
        <f t="shared" si="130"/>
        <v>0</v>
      </c>
      <c r="Y141" s="41">
        <f t="shared" si="131"/>
        <v>0</v>
      </c>
      <c r="Z141" s="41">
        <f t="shared" si="132"/>
        <v>0</v>
      </c>
      <c r="AA141" s="41">
        <f t="shared" si="133"/>
        <v>0</v>
      </c>
      <c r="AB141" s="41">
        <f t="shared" si="134"/>
        <v>0</v>
      </c>
      <c r="AC141" s="41">
        <f t="shared" si="135"/>
        <v>0</v>
      </c>
      <c r="AD141" s="31"/>
      <c r="AE141" s="21">
        <f t="shared" si="136"/>
        <v>0</v>
      </c>
      <c r="AF141" s="21">
        <f t="shared" si="137"/>
        <v>0</v>
      </c>
      <c r="AG141" s="21">
        <f t="shared" si="138"/>
        <v>0</v>
      </c>
      <c r="AI141" s="41">
        <v>21</v>
      </c>
      <c r="AJ141" s="41">
        <f>H141*0.899889908256881</f>
        <v>0</v>
      </c>
      <c r="AK141" s="41">
        <f>H141*(1-0.899889908256881)</f>
        <v>0</v>
      </c>
      <c r="AL141" s="42" t="s">
        <v>13</v>
      </c>
      <c r="AQ141" s="41">
        <f t="shared" si="139"/>
        <v>0</v>
      </c>
      <c r="AR141" s="41">
        <f t="shared" si="140"/>
        <v>0</v>
      </c>
      <c r="AS141" s="41">
        <f t="shared" si="141"/>
        <v>0</v>
      </c>
      <c r="AT141" s="44" t="s">
        <v>2435</v>
      </c>
      <c r="AU141" s="44" t="s">
        <v>2480</v>
      </c>
      <c r="AV141" s="31" t="s">
        <v>2486</v>
      </c>
      <c r="AX141" s="41">
        <f t="shared" si="142"/>
        <v>0</v>
      </c>
      <c r="AY141" s="41">
        <f t="shared" si="143"/>
        <v>0</v>
      </c>
      <c r="AZ141" s="41">
        <v>0</v>
      </c>
      <c r="BA141" s="41">
        <f t="shared" si="144"/>
        <v>0.504</v>
      </c>
      <c r="BC141" s="21">
        <f t="shared" si="145"/>
        <v>0</v>
      </c>
      <c r="BD141" s="21">
        <f t="shared" si="146"/>
        <v>0</v>
      </c>
      <c r="BE141" s="21">
        <f t="shared" si="147"/>
        <v>0</v>
      </c>
      <c r="BF141" s="21" t="s">
        <v>2492</v>
      </c>
      <c r="BG141" s="41">
        <v>7221</v>
      </c>
    </row>
    <row r="142" spans="1:59" x14ac:dyDescent="0.3">
      <c r="A142" s="5"/>
      <c r="B142" s="14"/>
      <c r="C142" s="14" t="s">
        <v>727</v>
      </c>
      <c r="D142" s="103" t="s">
        <v>1758</v>
      </c>
      <c r="E142" s="104"/>
      <c r="F142" s="19" t="s">
        <v>6</v>
      </c>
      <c r="G142" s="19" t="s">
        <v>6</v>
      </c>
      <c r="H142" s="19" t="s">
        <v>6</v>
      </c>
      <c r="I142" s="47">
        <f>SUM(I143:I188)</f>
        <v>0</v>
      </c>
      <c r="J142" s="47">
        <f>SUM(J143:J188)</f>
        <v>0</v>
      </c>
      <c r="K142" s="47">
        <f>SUM(K143:K188)</f>
        <v>0</v>
      </c>
      <c r="L142" s="31"/>
      <c r="M142" s="47">
        <f>SUM(M143:M188)</f>
        <v>1.6696800000000001</v>
      </c>
      <c r="N142" s="36"/>
      <c r="O142" s="39"/>
      <c r="AD142" s="31"/>
      <c r="AN142" s="47">
        <f>SUM(AE143:AE188)</f>
        <v>0</v>
      </c>
      <c r="AO142" s="47">
        <f>SUM(AF143:AF188)</f>
        <v>0</v>
      </c>
      <c r="AP142" s="47">
        <f>SUM(AG143:AG188)</f>
        <v>0</v>
      </c>
    </row>
    <row r="143" spans="1:59" x14ac:dyDescent="0.3">
      <c r="A143" s="4" t="s">
        <v>129</v>
      </c>
      <c r="B143" s="13"/>
      <c r="C143" s="13" t="s">
        <v>1098</v>
      </c>
      <c r="D143" s="101" t="s">
        <v>1759</v>
      </c>
      <c r="E143" s="102"/>
      <c r="F143" s="13" t="s">
        <v>2392</v>
      </c>
      <c r="G143" s="21">
        <v>1</v>
      </c>
      <c r="H143" s="21">
        <v>0</v>
      </c>
      <c r="I143" s="21">
        <f t="shared" ref="I143:I188" si="148">G143*AJ143</f>
        <v>0</v>
      </c>
      <c r="J143" s="21">
        <f t="shared" ref="J143:J188" si="149">G143*AK143</f>
        <v>0</v>
      </c>
      <c r="K143" s="21">
        <f t="shared" ref="K143:K188" si="150">G143*H143</f>
        <v>0</v>
      </c>
      <c r="L143" s="21">
        <v>9.7000000000000003E-2</v>
      </c>
      <c r="M143" s="21">
        <f t="shared" ref="M143:M188" si="151">G143*L143</f>
        <v>9.7000000000000003E-2</v>
      </c>
      <c r="N143" s="35" t="s">
        <v>2417</v>
      </c>
      <c r="O143" s="39"/>
      <c r="U143" s="41">
        <f t="shared" ref="U143:U188" si="152">IF(AL143="5",BE143,0)</f>
        <v>0</v>
      </c>
      <c r="W143" s="41">
        <f t="shared" ref="W143:W188" si="153">IF(AL143="1",BC143,0)</f>
        <v>0</v>
      </c>
      <c r="X143" s="41">
        <f t="shared" ref="X143:X188" si="154">IF(AL143="1",BD143,0)</f>
        <v>0</v>
      </c>
      <c r="Y143" s="41">
        <f t="shared" ref="Y143:Y188" si="155">IF(AL143="7",BC143,0)</f>
        <v>0</v>
      </c>
      <c r="Z143" s="41">
        <f t="shared" ref="Z143:Z188" si="156">IF(AL143="7",BD143,0)</f>
        <v>0</v>
      </c>
      <c r="AA143" s="41">
        <f t="shared" ref="AA143:AA188" si="157">IF(AL143="2",BC143,0)</f>
        <v>0</v>
      </c>
      <c r="AB143" s="41">
        <f t="shared" ref="AB143:AB188" si="158">IF(AL143="2",BD143,0)</f>
        <v>0</v>
      </c>
      <c r="AC143" s="41">
        <f t="shared" ref="AC143:AC188" si="159">IF(AL143="0",BE143,0)</f>
        <v>0</v>
      </c>
      <c r="AD143" s="31"/>
      <c r="AE143" s="21">
        <f t="shared" ref="AE143:AE188" si="160">IF(AI143=0,K143,0)</f>
        <v>0</v>
      </c>
      <c r="AF143" s="21">
        <f t="shared" ref="AF143:AF188" si="161">IF(AI143=15,K143,0)</f>
        <v>0</v>
      </c>
      <c r="AG143" s="21">
        <f t="shared" ref="AG143:AG188" si="162">IF(AI143=21,K143,0)</f>
        <v>0</v>
      </c>
      <c r="AI143" s="41">
        <v>21</v>
      </c>
      <c r="AJ143" s="41">
        <f t="shared" ref="AJ143:AJ151" si="163">H143*1</f>
        <v>0</v>
      </c>
      <c r="AK143" s="41">
        <f t="shared" ref="AK143:AK151" si="164">H143*(1-1)</f>
        <v>0</v>
      </c>
      <c r="AL143" s="42" t="s">
        <v>13</v>
      </c>
      <c r="AQ143" s="41">
        <f t="shared" ref="AQ143:AQ188" si="165">AR143+AS143</f>
        <v>0</v>
      </c>
      <c r="AR143" s="41">
        <f t="shared" ref="AR143:AR188" si="166">G143*AJ143</f>
        <v>0</v>
      </c>
      <c r="AS143" s="41">
        <f t="shared" ref="AS143:AS188" si="167">G143*AK143</f>
        <v>0</v>
      </c>
      <c r="AT143" s="44" t="s">
        <v>2436</v>
      </c>
      <c r="AU143" s="44" t="s">
        <v>2480</v>
      </c>
      <c r="AV143" s="31" t="s">
        <v>2486</v>
      </c>
      <c r="AX143" s="41">
        <f t="shared" ref="AX143:AX188" si="168">AR143+AS143</f>
        <v>0</v>
      </c>
      <c r="AY143" s="41">
        <f t="shared" ref="AY143:AY188" si="169">H143/(100-AZ143)*100</f>
        <v>0</v>
      </c>
      <c r="AZ143" s="41">
        <v>0</v>
      </c>
      <c r="BA143" s="41">
        <f t="shared" ref="BA143:BA188" si="170">M143</f>
        <v>9.7000000000000003E-2</v>
      </c>
      <c r="BC143" s="21">
        <f t="shared" ref="BC143:BC188" si="171">G143*AJ143</f>
        <v>0</v>
      </c>
      <c r="BD143" s="21">
        <f t="shared" ref="BD143:BD188" si="172">G143*AK143</f>
        <v>0</v>
      </c>
      <c r="BE143" s="21">
        <f t="shared" ref="BE143:BE188" si="173">G143*H143</f>
        <v>0</v>
      </c>
      <c r="BF143" s="21" t="s">
        <v>2492</v>
      </c>
      <c r="BG143" s="41">
        <v>725</v>
      </c>
    </row>
    <row r="144" spans="1:59" x14ac:dyDescent="0.3">
      <c r="A144" s="6" t="s">
        <v>130</v>
      </c>
      <c r="B144" s="15"/>
      <c r="C144" s="15" t="s">
        <v>1099</v>
      </c>
      <c r="D144" s="107" t="s">
        <v>1760</v>
      </c>
      <c r="E144" s="108"/>
      <c r="F144" s="15" t="s">
        <v>2391</v>
      </c>
      <c r="G144" s="22">
        <v>1</v>
      </c>
      <c r="H144" s="21">
        <v>0</v>
      </c>
      <c r="I144" s="22">
        <f t="shared" si="148"/>
        <v>0</v>
      </c>
      <c r="J144" s="22">
        <f t="shared" si="149"/>
        <v>0</v>
      </c>
      <c r="K144" s="22">
        <f t="shared" si="150"/>
        <v>0</v>
      </c>
      <c r="L144" s="22">
        <v>0.1</v>
      </c>
      <c r="M144" s="22">
        <f t="shared" si="151"/>
        <v>0.1</v>
      </c>
      <c r="N144" s="37" t="s">
        <v>2417</v>
      </c>
      <c r="O144" s="39"/>
      <c r="U144" s="41">
        <f t="shared" si="152"/>
        <v>0</v>
      </c>
      <c r="W144" s="41">
        <f t="shared" si="153"/>
        <v>0</v>
      </c>
      <c r="X144" s="41">
        <f t="shared" si="154"/>
        <v>0</v>
      </c>
      <c r="Y144" s="41">
        <f t="shared" si="155"/>
        <v>0</v>
      </c>
      <c r="Z144" s="41">
        <f t="shared" si="156"/>
        <v>0</v>
      </c>
      <c r="AA144" s="41">
        <f t="shared" si="157"/>
        <v>0</v>
      </c>
      <c r="AB144" s="41">
        <f t="shared" si="158"/>
        <v>0</v>
      </c>
      <c r="AC144" s="41">
        <f t="shared" si="159"/>
        <v>0</v>
      </c>
      <c r="AD144" s="31"/>
      <c r="AE144" s="22">
        <f t="shared" si="160"/>
        <v>0</v>
      </c>
      <c r="AF144" s="22">
        <f t="shared" si="161"/>
        <v>0</v>
      </c>
      <c r="AG144" s="22">
        <f t="shared" si="162"/>
        <v>0</v>
      </c>
      <c r="AI144" s="41">
        <v>21</v>
      </c>
      <c r="AJ144" s="41">
        <f t="shared" si="163"/>
        <v>0</v>
      </c>
      <c r="AK144" s="41">
        <f t="shared" si="164"/>
        <v>0</v>
      </c>
      <c r="AL144" s="43" t="s">
        <v>13</v>
      </c>
      <c r="AQ144" s="41">
        <f t="shared" si="165"/>
        <v>0</v>
      </c>
      <c r="AR144" s="41">
        <f t="shared" si="166"/>
        <v>0</v>
      </c>
      <c r="AS144" s="41">
        <f t="shared" si="167"/>
        <v>0</v>
      </c>
      <c r="AT144" s="44" t="s">
        <v>2436</v>
      </c>
      <c r="AU144" s="44" t="s">
        <v>2480</v>
      </c>
      <c r="AV144" s="31" t="s">
        <v>2486</v>
      </c>
      <c r="AX144" s="41">
        <f t="shared" si="168"/>
        <v>0</v>
      </c>
      <c r="AY144" s="41">
        <f t="shared" si="169"/>
        <v>0</v>
      </c>
      <c r="AZ144" s="41">
        <v>0</v>
      </c>
      <c r="BA144" s="41">
        <f t="shared" si="170"/>
        <v>0.1</v>
      </c>
      <c r="BC144" s="22">
        <f t="shared" si="171"/>
        <v>0</v>
      </c>
      <c r="BD144" s="22">
        <f t="shared" si="172"/>
        <v>0</v>
      </c>
      <c r="BE144" s="22">
        <f t="shared" si="173"/>
        <v>0</v>
      </c>
      <c r="BF144" s="22" t="s">
        <v>1341</v>
      </c>
      <c r="BG144" s="41">
        <v>725</v>
      </c>
    </row>
    <row r="145" spans="1:59" x14ac:dyDescent="0.3">
      <c r="A145" s="6" t="s">
        <v>131</v>
      </c>
      <c r="B145" s="15"/>
      <c r="C145" s="15" t="s">
        <v>1100</v>
      </c>
      <c r="D145" s="107" t="s">
        <v>1761</v>
      </c>
      <c r="E145" s="108"/>
      <c r="F145" s="15" t="s">
        <v>2391</v>
      </c>
      <c r="G145" s="22">
        <v>1</v>
      </c>
      <c r="H145" s="21">
        <v>0</v>
      </c>
      <c r="I145" s="22">
        <f t="shared" si="148"/>
        <v>0</v>
      </c>
      <c r="J145" s="22">
        <f t="shared" si="149"/>
        <v>0</v>
      </c>
      <c r="K145" s="22">
        <f t="shared" si="150"/>
        <v>0</v>
      </c>
      <c r="L145" s="22">
        <v>8.5000000000000006E-3</v>
      </c>
      <c r="M145" s="22">
        <f t="shared" si="151"/>
        <v>8.5000000000000006E-3</v>
      </c>
      <c r="N145" s="37" t="s">
        <v>2417</v>
      </c>
      <c r="O145" s="39"/>
      <c r="U145" s="41">
        <f t="shared" si="152"/>
        <v>0</v>
      </c>
      <c r="W145" s="41">
        <f t="shared" si="153"/>
        <v>0</v>
      </c>
      <c r="X145" s="41">
        <f t="shared" si="154"/>
        <v>0</v>
      </c>
      <c r="Y145" s="41">
        <f t="shared" si="155"/>
        <v>0</v>
      </c>
      <c r="Z145" s="41">
        <f t="shared" si="156"/>
        <v>0</v>
      </c>
      <c r="AA145" s="41">
        <f t="shared" si="157"/>
        <v>0</v>
      </c>
      <c r="AB145" s="41">
        <f t="shared" si="158"/>
        <v>0</v>
      </c>
      <c r="AC145" s="41">
        <f t="shared" si="159"/>
        <v>0</v>
      </c>
      <c r="AD145" s="31"/>
      <c r="AE145" s="22">
        <f t="shared" si="160"/>
        <v>0</v>
      </c>
      <c r="AF145" s="22">
        <f t="shared" si="161"/>
        <v>0</v>
      </c>
      <c r="AG145" s="22">
        <f t="shared" si="162"/>
        <v>0</v>
      </c>
      <c r="AI145" s="41">
        <v>21</v>
      </c>
      <c r="AJ145" s="41">
        <f t="shared" si="163"/>
        <v>0</v>
      </c>
      <c r="AK145" s="41">
        <f t="shared" si="164"/>
        <v>0</v>
      </c>
      <c r="AL145" s="43" t="s">
        <v>13</v>
      </c>
      <c r="AQ145" s="41">
        <f t="shared" si="165"/>
        <v>0</v>
      </c>
      <c r="AR145" s="41">
        <f t="shared" si="166"/>
        <v>0</v>
      </c>
      <c r="AS145" s="41">
        <f t="shared" si="167"/>
        <v>0</v>
      </c>
      <c r="AT145" s="44" t="s">
        <v>2436</v>
      </c>
      <c r="AU145" s="44" t="s">
        <v>2480</v>
      </c>
      <c r="AV145" s="31" t="s">
        <v>2486</v>
      </c>
      <c r="AX145" s="41">
        <f t="shared" si="168"/>
        <v>0</v>
      </c>
      <c r="AY145" s="41">
        <f t="shared" si="169"/>
        <v>0</v>
      </c>
      <c r="AZ145" s="41">
        <v>0</v>
      </c>
      <c r="BA145" s="41">
        <f t="shared" si="170"/>
        <v>8.5000000000000006E-3</v>
      </c>
      <c r="BC145" s="22">
        <f t="shared" si="171"/>
        <v>0</v>
      </c>
      <c r="BD145" s="22">
        <f t="shared" si="172"/>
        <v>0</v>
      </c>
      <c r="BE145" s="22">
        <f t="shared" si="173"/>
        <v>0</v>
      </c>
      <c r="BF145" s="22" t="s">
        <v>1341</v>
      </c>
      <c r="BG145" s="41">
        <v>725</v>
      </c>
    </row>
    <row r="146" spans="1:59" x14ac:dyDescent="0.3">
      <c r="A146" s="6" t="s">
        <v>132</v>
      </c>
      <c r="B146" s="15"/>
      <c r="C146" s="15" t="s">
        <v>1101</v>
      </c>
      <c r="D146" s="107" t="s">
        <v>1762</v>
      </c>
      <c r="E146" s="108"/>
      <c r="F146" s="15" t="s">
        <v>2391</v>
      </c>
      <c r="G146" s="22">
        <v>1</v>
      </c>
      <c r="H146" s="21">
        <v>0</v>
      </c>
      <c r="I146" s="22">
        <f t="shared" si="148"/>
        <v>0</v>
      </c>
      <c r="J146" s="22">
        <f t="shared" si="149"/>
        <v>0</v>
      </c>
      <c r="K146" s="22">
        <f t="shared" si="150"/>
        <v>0</v>
      </c>
      <c r="L146" s="22">
        <v>9.8300000000000002E-3</v>
      </c>
      <c r="M146" s="22">
        <f t="shared" si="151"/>
        <v>9.8300000000000002E-3</v>
      </c>
      <c r="N146" s="37" t="s">
        <v>2417</v>
      </c>
      <c r="O146" s="39"/>
      <c r="U146" s="41">
        <f t="shared" si="152"/>
        <v>0</v>
      </c>
      <c r="W146" s="41">
        <f t="shared" si="153"/>
        <v>0</v>
      </c>
      <c r="X146" s="41">
        <f t="shared" si="154"/>
        <v>0</v>
      </c>
      <c r="Y146" s="41">
        <f t="shared" si="155"/>
        <v>0</v>
      </c>
      <c r="Z146" s="41">
        <f t="shared" si="156"/>
        <v>0</v>
      </c>
      <c r="AA146" s="41">
        <f t="shared" si="157"/>
        <v>0</v>
      </c>
      <c r="AB146" s="41">
        <f t="shared" si="158"/>
        <v>0</v>
      </c>
      <c r="AC146" s="41">
        <f t="shared" si="159"/>
        <v>0</v>
      </c>
      <c r="AD146" s="31"/>
      <c r="AE146" s="22">
        <f t="shared" si="160"/>
        <v>0</v>
      </c>
      <c r="AF146" s="22">
        <f t="shared" si="161"/>
        <v>0</v>
      </c>
      <c r="AG146" s="22">
        <f t="shared" si="162"/>
        <v>0</v>
      </c>
      <c r="AI146" s="41">
        <v>21</v>
      </c>
      <c r="AJ146" s="41">
        <f t="shared" si="163"/>
        <v>0</v>
      </c>
      <c r="AK146" s="41">
        <f t="shared" si="164"/>
        <v>0</v>
      </c>
      <c r="AL146" s="43" t="s">
        <v>13</v>
      </c>
      <c r="AQ146" s="41">
        <f t="shared" si="165"/>
        <v>0</v>
      </c>
      <c r="AR146" s="41">
        <f t="shared" si="166"/>
        <v>0</v>
      </c>
      <c r="AS146" s="41">
        <f t="shared" si="167"/>
        <v>0</v>
      </c>
      <c r="AT146" s="44" t="s">
        <v>2436</v>
      </c>
      <c r="AU146" s="44" t="s">
        <v>2480</v>
      </c>
      <c r="AV146" s="31" t="s">
        <v>2486</v>
      </c>
      <c r="AX146" s="41">
        <f t="shared" si="168"/>
        <v>0</v>
      </c>
      <c r="AY146" s="41">
        <f t="shared" si="169"/>
        <v>0</v>
      </c>
      <c r="AZ146" s="41">
        <v>0</v>
      </c>
      <c r="BA146" s="41">
        <f t="shared" si="170"/>
        <v>9.8300000000000002E-3</v>
      </c>
      <c r="BC146" s="22">
        <f t="shared" si="171"/>
        <v>0</v>
      </c>
      <c r="BD146" s="22">
        <f t="shared" si="172"/>
        <v>0</v>
      </c>
      <c r="BE146" s="22">
        <f t="shared" si="173"/>
        <v>0</v>
      </c>
      <c r="BF146" s="22" t="s">
        <v>1341</v>
      </c>
      <c r="BG146" s="41">
        <v>725</v>
      </c>
    </row>
    <row r="147" spans="1:59" x14ac:dyDescent="0.3">
      <c r="A147" s="6" t="s">
        <v>133</v>
      </c>
      <c r="B147" s="15"/>
      <c r="C147" s="15" t="s">
        <v>1102</v>
      </c>
      <c r="D147" s="107" t="s">
        <v>1763</v>
      </c>
      <c r="E147" s="108"/>
      <c r="F147" s="15" t="s">
        <v>2391</v>
      </c>
      <c r="G147" s="22">
        <v>2</v>
      </c>
      <c r="H147" s="21">
        <v>0</v>
      </c>
      <c r="I147" s="22">
        <f t="shared" si="148"/>
        <v>0</v>
      </c>
      <c r="J147" s="22">
        <f t="shared" si="149"/>
        <v>0</v>
      </c>
      <c r="K147" s="22">
        <f t="shared" si="150"/>
        <v>0</v>
      </c>
      <c r="L147" s="22">
        <v>8.5000000000000006E-3</v>
      </c>
      <c r="M147" s="22">
        <f t="shared" si="151"/>
        <v>1.7000000000000001E-2</v>
      </c>
      <c r="N147" s="37" t="s">
        <v>2417</v>
      </c>
      <c r="O147" s="39"/>
      <c r="U147" s="41">
        <f t="shared" si="152"/>
        <v>0</v>
      </c>
      <c r="W147" s="41">
        <f t="shared" si="153"/>
        <v>0</v>
      </c>
      <c r="X147" s="41">
        <f t="shared" si="154"/>
        <v>0</v>
      </c>
      <c r="Y147" s="41">
        <f t="shared" si="155"/>
        <v>0</v>
      </c>
      <c r="Z147" s="41">
        <f t="shared" si="156"/>
        <v>0</v>
      </c>
      <c r="AA147" s="41">
        <f t="shared" si="157"/>
        <v>0</v>
      </c>
      <c r="AB147" s="41">
        <f t="shared" si="158"/>
        <v>0</v>
      </c>
      <c r="AC147" s="41">
        <f t="shared" si="159"/>
        <v>0</v>
      </c>
      <c r="AD147" s="31"/>
      <c r="AE147" s="22">
        <f t="shared" si="160"/>
        <v>0</v>
      </c>
      <c r="AF147" s="22">
        <f t="shared" si="161"/>
        <v>0</v>
      </c>
      <c r="AG147" s="22">
        <f t="shared" si="162"/>
        <v>0</v>
      </c>
      <c r="AI147" s="41">
        <v>21</v>
      </c>
      <c r="AJ147" s="41">
        <f t="shared" si="163"/>
        <v>0</v>
      </c>
      <c r="AK147" s="41">
        <f t="shared" si="164"/>
        <v>0</v>
      </c>
      <c r="AL147" s="43" t="s">
        <v>13</v>
      </c>
      <c r="AQ147" s="41">
        <f t="shared" si="165"/>
        <v>0</v>
      </c>
      <c r="AR147" s="41">
        <f t="shared" si="166"/>
        <v>0</v>
      </c>
      <c r="AS147" s="41">
        <f t="shared" si="167"/>
        <v>0</v>
      </c>
      <c r="AT147" s="44" t="s">
        <v>2436</v>
      </c>
      <c r="AU147" s="44" t="s">
        <v>2480</v>
      </c>
      <c r="AV147" s="31" t="s">
        <v>2486</v>
      </c>
      <c r="AX147" s="41">
        <f t="shared" si="168"/>
        <v>0</v>
      </c>
      <c r="AY147" s="41">
        <f t="shared" si="169"/>
        <v>0</v>
      </c>
      <c r="AZ147" s="41">
        <v>0</v>
      </c>
      <c r="BA147" s="41">
        <f t="shared" si="170"/>
        <v>1.7000000000000001E-2</v>
      </c>
      <c r="BC147" s="22">
        <f t="shared" si="171"/>
        <v>0</v>
      </c>
      <c r="BD147" s="22">
        <f t="shared" si="172"/>
        <v>0</v>
      </c>
      <c r="BE147" s="22">
        <f t="shared" si="173"/>
        <v>0</v>
      </c>
      <c r="BF147" s="22" t="s">
        <v>1341</v>
      </c>
      <c r="BG147" s="41">
        <v>725</v>
      </c>
    </row>
    <row r="148" spans="1:59" x14ac:dyDescent="0.3">
      <c r="A148" s="6" t="s">
        <v>134</v>
      </c>
      <c r="B148" s="15"/>
      <c r="C148" s="15" t="s">
        <v>1103</v>
      </c>
      <c r="D148" s="107" t="s">
        <v>1764</v>
      </c>
      <c r="E148" s="108"/>
      <c r="F148" s="15" t="s">
        <v>2391</v>
      </c>
      <c r="G148" s="22">
        <v>1</v>
      </c>
      <c r="H148" s="21">
        <v>0</v>
      </c>
      <c r="I148" s="22">
        <f t="shared" si="148"/>
        <v>0</v>
      </c>
      <c r="J148" s="22">
        <f t="shared" si="149"/>
        <v>0</v>
      </c>
      <c r="K148" s="22">
        <f t="shared" si="150"/>
        <v>0</v>
      </c>
      <c r="L148" s="22">
        <v>9.8300000000000002E-3</v>
      </c>
      <c r="M148" s="22">
        <f t="shared" si="151"/>
        <v>9.8300000000000002E-3</v>
      </c>
      <c r="N148" s="37" t="s">
        <v>2417</v>
      </c>
      <c r="O148" s="39"/>
      <c r="U148" s="41">
        <f t="shared" si="152"/>
        <v>0</v>
      </c>
      <c r="W148" s="41">
        <f t="shared" si="153"/>
        <v>0</v>
      </c>
      <c r="X148" s="41">
        <f t="shared" si="154"/>
        <v>0</v>
      </c>
      <c r="Y148" s="41">
        <f t="shared" si="155"/>
        <v>0</v>
      </c>
      <c r="Z148" s="41">
        <f t="shared" si="156"/>
        <v>0</v>
      </c>
      <c r="AA148" s="41">
        <f t="shared" si="157"/>
        <v>0</v>
      </c>
      <c r="AB148" s="41">
        <f t="shared" si="158"/>
        <v>0</v>
      </c>
      <c r="AC148" s="41">
        <f t="shared" si="159"/>
        <v>0</v>
      </c>
      <c r="AD148" s="31"/>
      <c r="AE148" s="22">
        <f t="shared" si="160"/>
        <v>0</v>
      </c>
      <c r="AF148" s="22">
        <f t="shared" si="161"/>
        <v>0</v>
      </c>
      <c r="AG148" s="22">
        <f t="shared" si="162"/>
        <v>0</v>
      </c>
      <c r="AI148" s="41">
        <v>21</v>
      </c>
      <c r="AJ148" s="41">
        <f t="shared" si="163"/>
        <v>0</v>
      </c>
      <c r="AK148" s="41">
        <f t="shared" si="164"/>
        <v>0</v>
      </c>
      <c r="AL148" s="43" t="s">
        <v>13</v>
      </c>
      <c r="AQ148" s="41">
        <f t="shared" si="165"/>
        <v>0</v>
      </c>
      <c r="AR148" s="41">
        <f t="shared" si="166"/>
        <v>0</v>
      </c>
      <c r="AS148" s="41">
        <f t="shared" si="167"/>
        <v>0</v>
      </c>
      <c r="AT148" s="44" t="s">
        <v>2436</v>
      </c>
      <c r="AU148" s="44" t="s">
        <v>2480</v>
      </c>
      <c r="AV148" s="31" t="s">
        <v>2486</v>
      </c>
      <c r="AX148" s="41">
        <f t="shared" si="168"/>
        <v>0</v>
      </c>
      <c r="AY148" s="41">
        <f t="shared" si="169"/>
        <v>0</v>
      </c>
      <c r="AZ148" s="41">
        <v>0</v>
      </c>
      <c r="BA148" s="41">
        <f t="shared" si="170"/>
        <v>9.8300000000000002E-3</v>
      </c>
      <c r="BC148" s="22">
        <f t="shared" si="171"/>
        <v>0</v>
      </c>
      <c r="BD148" s="22">
        <f t="shared" si="172"/>
        <v>0</v>
      </c>
      <c r="BE148" s="22">
        <f t="shared" si="173"/>
        <v>0</v>
      </c>
      <c r="BF148" s="22" t="s">
        <v>1341</v>
      </c>
      <c r="BG148" s="41">
        <v>725</v>
      </c>
    </row>
    <row r="149" spans="1:59" x14ac:dyDescent="0.3">
      <c r="A149" s="6" t="s">
        <v>135</v>
      </c>
      <c r="B149" s="15"/>
      <c r="C149" s="15" t="s">
        <v>1104</v>
      </c>
      <c r="D149" s="107" t="s">
        <v>1765</v>
      </c>
      <c r="E149" s="108"/>
      <c r="F149" s="15" t="s">
        <v>2391</v>
      </c>
      <c r="G149" s="22">
        <v>2</v>
      </c>
      <c r="H149" s="21">
        <v>0</v>
      </c>
      <c r="I149" s="22">
        <f t="shared" si="148"/>
        <v>0</v>
      </c>
      <c r="J149" s="22">
        <f t="shared" si="149"/>
        <v>0</v>
      </c>
      <c r="K149" s="22">
        <f t="shared" si="150"/>
        <v>0</v>
      </c>
      <c r="L149" s="22">
        <v>0.05</v>
      </c>
      <c r="M149" s="22">
        <f t="shared" si="151"/>
        <v>0.1</v>
      </c>
      <c r="N149" s="37" t="s">
        <v>2417</v>
      </c>
      <c r="O149" s="39"/>
      <c r="U149" s="41">
        <f t="shared" si="152"/>
        <v>0</v>
      </c>
      <c r="W149" s="41">
        <f t="shared" si="153"/>
        <v>0</v>
      </c>
      <c r="X149" s="41">
        <f t="shared" si="154"/>
        <v>0</v>
      </c>
      <c r="Y149" s="41">
        <f t="shared" si="155"/>
        <v>0</v>
      </c>
      <c r="Z149" s="41">
        <f t="shared" si="156"/>
        <v>0</v>
      </c>
      <c r="AA149" s="41">
        <f t="shared" si="157"/>
        <v>0</v>
      </c>
      <c r="AB149" s="41">
        <f t="shared" si="158"/>
        <v>0</v>
      </c>
      <c r="AC149" s="41">
        <f t="shared" si="159"/>
        <v>0</v>
      </c>
      <c r="AD149" s="31"/>
      <c r="AE149" s="22">
        <f t="shared" si="160"/>
        <v>0</v>
      </c>
      <c r="AF149" s="22">
        <f t="shared" si="161"/>
        <v>0</v>
      </c>
      <c r="AG149" s="22">
        <f t="shared" si="162"/>
        <v>0</v>
      </c>
      <c r="AI149" s="41">
        <v>21</v>
      </c>
      <c r="AJ149" s="41">
        <f t="shared" si="163"/>
        <v>0</v>
      </c>
      <c r="AK149" s="41">
        <f t="shared" si="164"/>
        <v>0</v>
      </c>
      <c r="AL149" s="43" t="s">
        <v>13</v>
      </c>
      <c r="AQ149" s="41">
        <f t="shared" si="165"/>
        <v>0</v>
      </c>
      <c r="AR149" s="41">
        <f t="shared" si="166"/>
        <v>0</v>
      </c>
      <c r="AS149" s="41">
        <f t="shared" si="167"/>
        <v>0</v>
      </c>
      <c r="AT149" s="44" t="s">
        <v>2436</v>
      </c>
      <c r="AU149" s="44" t="s">
        <v>2480</v>
      </c>
      <c r="AV149" s="31" t="s">
        <v>2486</v>
      </c>
      <c r="AX149" s="41">
        <f t="shared" si="168"/>
        <v>0</v>
      </c>
      <c r="AY149" s="41">
        <f t="shared" si="169"/>
        <v>0</v>
      </c>
      <c r="AZ149" s="41">
        <v>0</v>
      </c>
      <c r="BA149" s="41">
        <f t="shared" si="170"/>
        <v>0.1</v>
      </c>
      <c r="BC149" s="22">
        <f t="shared" si="171"/>
        <v>0</v>
      </c>
      <c r="BD149" s="22">
        <f t="shared" si="172"/>
        <v>0</v>
      </c>
      <c r="BE149" s="22">
        <f t="shared" si="173"/>
        <v>0</v>
      </c>
      <c r="BF149" s="22" t="s">
        <v>1341</v>
      </c>
      <c r="BG149" s="41">
        <v>725</v>
      </c>
    </row>
    <row r="150" spans="1:59" x14ac:dyDescent="0.3">
      <c r="A150" s="6" t="s">
        <v>136</v>
      </c>
      <c r="B150" s="15"/>
      <c r="C150" s="15" t="s">
        <v>1105</v>
      </c>
      <c r="D150" s="107" t="s">
        <v>1766</v>
      </c>
      <c r="E150" s="108"/>
      <c r="F150" s="15" t="s">
        <v>2391</v>
      </c>
      <c r="G150" s="22">
        <v>1</v>
      </c>
      <c r="H150" s="21">
        <v>0</v>
      </c>
      <c r="I150" s="22">
        <f t="shared" si="148"/>
        <v>0</v>
      </c>
      <c r="J150" s="22">
        <f t="shared" si="149"/>
        <v>0</v>
      </c>
      <c r="K150" s="22">
        <f t="shared" si="150"/>
        <v>0</v>
      </c>
      <c r="L150" s="22">
        <v>9.8300000000000002E-3</v>
      </c>
      <c r="M150" s="22">
        <f t="shared" si="151"/>
        <v>9.8300000000000002E-3</v>
      </c>
      <c r="N150" s="37" t="s">
        <v>2417</v>
      </c>
      <c r="O150" s="39"/>
      <c r="U150" s="41">
        <f t="shared" si="152"/>
        <v>0</v>
      </c>
      <c r="W150" s="41">
        <f t="shared" si="153"/>
        <v>0</v>
      </c>
      <c r="X150" s="41">
        <f t="shared" si="154"/>
        <v>0</v>
      </c>
      <c r="Y150" s="41">
        <f t="shared" si="155"/>
        <v>0</v>
      </c>
      <c r="Z150" s="41">
        <f t="shared" si="156"/>
        <v>0</v>
      </c>
      <c r="AA150" s="41">
        <f t="shared" si="157"/>
        <v>0</v>
      </c>
      <c r="AB150" s="41">
        <f t="shared" si="158"/>
        <v>0</v>
      </c>
      <c r="AC150" s="41">
        <f t="shared" si="159"/>
        <v>0</v>
      </c>
      <c r="AD150" s="31"/>
      <c r="AE150" s="22">
        <f t="shared" si="160"/>
        <v>0</v>
      </c>
      <c r="AF150" s="22">
        <f t="shared" si="161"/>
        <v>0</v>
      </c>
      <c r="AG150" s="22">
        <f t="shared" si="162"/>
        <v>0</v>
      </c>
      <c r="AI150" s="41">
        <v>21</v>
      </c>
      <c r="AJ150" s="41">
        <f t="shared" si="163"/>
        <v>0</v>
      </c>
      <c r="AK150" s="41">
        <f t="shared" si="164"/>
        <v>0</v>
      </c>
      <c r="AL150" s="43" t="s">
        <v>13</v>
      </c>
      <c r="AQ150" s="41">
        <f t="shared" si="165"/>
        <v>0</v>
      </c>
      <c r="AR150" s="41">
        <f t="shared" si="166"/>
        <v>0</v>
      </c>
      <c r="AS150" s="41">
        <f t="shared" si="167"/>
        <v>0</v>
      </c>
      <c r="AT150" s="44" t="s">
        <v>2436</v>
      </c>
      <c r="AU150" s="44" t="s">
        <v>2480</v>
      </c>
      <c r="AV150" s="31" t="s">
        <v>2486</v>
      </c>
      <c r="AX150" s="41">
        <f t="shared" si="168"/>
        <v>0</v>
      </c>
      <c r="AY150" s="41">
        <f t="shared" si="169"/>
        <v>0</v>
      </c>
      <c r="AZ150" s="41">
        <v>0</v>
      </c>
      <c r="BA150" s="41">
        <f t="shared" si="170"/>
        <v>9.8300000000000002E-3</v>
      </c>
      <c r="BC150" s="22">
        <f t="shared" si="171"/>
        <v>0</v>
      </c>
      <c r="BD150" s="22">
        <f t="shared" si="172"/>
        <v>0</v>
      </c>
      <c r="BE150" s="22">
        <f t="shared" si="173"/>
        <v>0</v>
      </c>
      <c r="BF150" s="22" t="s">
        <v>1341</v>
      </c>
      <c r="BG150" s="41">
        <v>725</v>
      </c>
    </row>
    <row r="151" spans="1:59" x14ac:dyDescent="0.3">
      <c r="A151" s="6" t="s">
        <v>137</v>
      </c>
      <c r="B151" s="15"/>
      <c r="C151" s="15" t="s">
        <v>1106</v>
      </c>
      <c r="D151" s="107" t="s">
        <v>1767</v>
      </c>
      <c r="E151" s="108"/>
      <c r="F151" s="15" t="s">
        <v>2391</v>
      </c>
      <c r="G151" s="22">
        <v>1</v>
      </c>
      <c r="H151" s="21">
        <v>0</v>
      </c>
      <c r="I151" s="22">
        <f t="shared" si="148"/>
        <v>0</v>
      </c>
      <c r="J151" s="22">
        <f t="shared" si="149"/>
        <v>0</v>
      </c>
      <c r="K151" s="22">
        <f t="shared" si="150"/>
        <v>0</v>
      </c>
      <c r="L151" s="22">
        <v>8.5000000000000006E-3</v>
      </c>
      <c r="M151" s="22">
        <f t="shared" si="151"/>
        <v>8.5000000000000006E-3</v>
      </c>
      <c r="N151" s="37" t="s">
        <v>2417</v>
      </c>
      <c r="O151" s="39"/>
      <c r="U151" s="41">
        <f t="shared" si="152"/>
        <v>0</v>
      </c>
      <c r="W151" s="41">
        <f t="shared" si="153"/>
        <v>0</v>
      </c>
      <c r="X151" s="41">
        <f t="shared" si="154"/>
        <v>0</v>
      </c>
      <c r="Y151" s="41">
        <f t="shared" si="155"/>
        <v>0</v>
      </c>
      <c r="Z151" s="41">
        <f t="shared" si="156"/>
        <v>0</v>
      </c>
      <c r="AA151" s="41">
        <f t="shared" si="157"/>
        <v>0</v>
      </c>
      <c r="AB151" s="41">
        <f t="shared" si="158"/>
        <v>0</v>
      </c>
      <c r="AC151" s="41">
        <f t="shared" si="159"/>
        <v>0</v>
      </c>
      <c r="AD151" s="31"/>
      <c r="AE151" s="22">
        <f t="shared" si="160"/>
        <v>0</v>
      </c>
      <c r="AF151" s="22">
        <f t="shared" si="161"/>
        <v>0</v>
      </c>
      <c r="AG151" s="22">
        <f t="shared" si="162"/>
        <v>0</v>
      </c>
      <c r="AI151" s="41">
        <v>21</v>
      </c>
      <c r="AJ151" s="41">
        <f t="shared" si="163"/>
        <v>0</v>
      </c>
      <c r="AK151" s="41">
        <f t="shared" si="164"/>
        <v>0</v>
      </c>
      <c r="AL151" s="43" t="s">
        <v>13</v>
      </c>
      <c r="AQ151" s="41">
        <f t="shared" si="165"/>
        <v>0</v>
      </c>
      <c r="AR151" s="41">
        <f t="shared" si="166"/>
        <v>0</v>
      </c>
      <c r="AS151" s="41">
        <f t="shared" si="167"/>
        <v>0</v>
      </c>
      <c r="AT151" s="44" t="s">
        <v>2436</v>
      </c>
      <c r="AU151" s="44" t="s">
        <v>2480</v>
      </c>
      <c r="AV151" s="31" t="s">
        <v>2486</v>
      </c>
      <c r="AX151" s="41">
        <f t="shared" si="168"/>
        <v>0</v>
      </c>
      <c r="AY151" s="41">
        <f t="shared" si="169"/>
        <v>0</v>
      </c>
      <c r="AZ151" s="41">
        <v>0</v>
      </c>
      <c r="BA151" s="41">
        <f t="shared" si="170"/>
        <v>8.5000000000000006E-3</v>
      </c>
      <c r="BC151" s="22">
        <f t="shared" si="171"/>
        <v>0</v>
      </c>
      <c r="BD151" s="22">
        <f t="shared" si="172"/>
        <v>0</v>
      </c>
      <c r="BE151" s="22">
        <f t="shared" si="173"/>
        <v>0</v>
      </c>
      <c r="BF151" s="22" t="s">
        <v>1341</v>
      </c>
      <c r="BG151" s="41">
        <v>725</v>
      </c>
    </row>
    <row r="152" spans="1:59" x14ac:dyDescent="0.3">
      <c r="A152" s="4" t="s">
        <v>138</v>
      </c>
      <c r="B152" s="13"/>
      <c r="C152" s="13" t="s">
        <v>1107</v>
      </c>
      <c r="D152" s="101" t="s">
        <v>1768</v>
      </c>
      <c r="E152" s="102"/>
      <c r="F152" s="13" t="s">
        <v>2390</v>
      </c>
      <c r="G152" s="21">
        <v>11</v>
      </c>
      <c r="H152" s="21">
        <v>0</v>
      </c>
      <c r="I152" s="21">
        <f t="shared" si="148"/>
        <v>0</v>
      </c>
      <c r="J152" s="21">
        <f t="shared" si="149"/>
        <v>0</v>
      </c>
      <c r="K152" s="21">
        <f t="shared" si="150"/>
        <v>0</v>
      </c>
      <c r="L152" s="21">
        <v>9.3000000000000005E-4</v>
      </c>
      <c r="M152" s="21">
        <f t="shared" si="151"/>
        <v>1.0230000000000001E-2</v>
      </c>
      <c r="N152" s="35" t="s">
        <v>2417</v>
      </c>
      <c r="O152" s="39"/>
      <c r="U152" s="41">
        <f t="shared" si="152"/>
        <v>0</v>
      </c>
      <c r="W152" s="41">
        <f t="shared" si="153"/>
        <v>0</v>
      </c>
      <c r="X152" s="41">
        <f t="shared" si="154"/>
        <v>0</v>
      </c>
      <c r="Y152" s="41">
        <f t="shared" si="155"/>
        <v>0</v>
      </c>
      <c r="Z152" s="41">
        <f t="shared" si="156"/>
        <v>0</v>
      </c>
      <c r="AA152" s="41">
        <f t="shared" si="157"/>
        <v>0</v>
      </c>
      <c r="AB152" s="41">
        <f t="shared" si="158"/>
        <v>0</v>
      </c>
      <c r="AC152" s="41">
        <f t="shared" si="159"/>
        <v>0</v>
      </c>
      <c r="AD152" s="31"/>
      <c r="AE152" s="21">
        <f t="shared" si="160"/>
        <v>0</v>
      </c>
      <c r="AF152" s="21">
        <f t="shared" si="161"/>
        <v>0</v>
      </c>
      <c r="AG152" s="21">
        <f t="shared" si="162"/>
        <v>0</v>
      </c>
      <c r="AI152" s="41">
        <v>21</v>
      </c>
      <c r="AJ152" s="41">
        <f>H152*0.137130152411577</f>
        <v>0</v>
      </c>
      <c r="AK152" s="41">
        <f>H152*(1-0.137130152411577)</f>
        <v>0</v>
      </c>
      <c r="AL152" s="42" t="s">
        <v>13</v>
      </c>
      <c r="AQ152" s="41">
        <f t="shared" si="165"/>
        <v>0</v>
      </c>
      <c r="AR152" s="41">
        <f t="shared" si="166"/>
        <v>0</v>
      </c>
      <c r="AS152" s="41">
        <f t="shared" si="167"/>
        <v>0</v>
      </c>
      <c r="AT152" s="44" t="s">
        <v>2436</v>
      </c>
      <c r="AU152" s="44" t="s">
        <v>2480</v>
      </c>
      <c r="AV152" s="31" t="s">
        <v>2486</v>
      </c>
      <c r="AX152" s="41">
        <f t="shared" si="168"/>
        <v>0</v>
      </c>
      <c r="AY152" s="41">
        <f t="shared" si="169"/>
        <v>0</v>
      </c>
      <c r="AZ152" s="41">
        <v>0</v>
      </c>
      <c r="BA152" s="41">
        <f t="shared" si="170"/>
        <v>1.0230000000000001E-2</v>
      </c>
      <c r="BC152" s="21">
        <f t="shared" si="171"/>
        <v>0</v>
      </c>
      <c r="BD152" s="21">
        <f t="shared" si="172"/>
        <v>0</v>
      </c>
      <c r="BE152" s="21">
        <f t="shared" si="173"/>
        <v>0</v>
      </c>
      <c r="BF152" s="21" t="s">
        <v>2492</v>
      </c>
      <c r="BG152" s="41">
        <v>725</v>
      </c>
    </row>
    <row r="153" spans="1:59" x14ac:dyDescent="0.3">
      <c r="A153" s="4" t="s">
        <v>139</v>
      </c>
      <c r="B153" s="13"/>
      <c r="C153" s="13" t="s">
        <v>1108</v>
      </c>
      <c r="D153" s="101" t="s">
        <v>1769</v>
      </c>
      <c r="E153" s="102"/>
      <c r="F153" s="13" t="s">
        <v>2392</v>
      </c>
      <c r="G153" s="21">
        <v>18</v>
      </c>
      <c r="H153" s="21">
        <v>0</v>
      </c>
      <c r="I153" s="21">
        <f t="shared" si="148"/>
        <v>0</v>
      </c>
      <c r="J153" s="21">
        <f t="shared" si="149"/>
        <v>0</v>
      </c>
      <c r="K153" s="21">
        <f t="shared" si="150"/>
        <v>0</v>
      </c>
      <c r="L153" s="21">
        <v>2.1319999999999999E-2</v>
      </c>
      <c r="M153" s="21">
        <f t="shared" si="151"/>
        <v>0.38375999999999999</v>
      </c>
      <c r="N153" s="35" t="s">
        <v>2417</v>
      </c>
      <c r="O153" s="39"/>
      <c r="U153" s="41">
        <f t="shared" si="152"/>
        <v>0</v>
      </c>
      <c r="W153" s="41">
        <f t="shared" si="153"/>
        <v>0</v>
      </c>
      <c r="X153" s="41">
        <f t="shared" si="154"/>
        <v>0</v>
      </c>
      <c r="Y153" s="41">
        <f t="shared" si="155"/>
        <v>0</v>
      </c>
      <c r="Z153" s="41">
        <f t="shared" si="156"/>
        <v>0</v>
      </c>
      <c r="AA153" s="41">
        <f t="shared" si="157"/>
        <v>0</v>
      </c>
      <c r="AB153" s="41">
        <f t="shared" si="158"/>
        <v>0</v>
      </c>
      <c r="AC153" s="41">
        <f t="shared" si="159"/>
        <v>0</v>
      </c>
      <c r="AD153" s="31"/>
      <c r="AE153" s="21">
        <f t="shared" si="160"/>
        <v>0</v>
      </c>
      <c r="AF153" s="21">
        <f t="shared" si="161"/>
        <v>0</v>
      </c>
      <c r="AG153" s="21">
        <f t="shared" si="162"/>
        <v>0</v>
      </c>
      <c r="AI153" s="41">
        <v>21</v>
      </c>
      <c r="AJ153" s="41">
        <f>H153*0.937669130187607</f>
        <v>0</v>
      </c>
      <c r="AK153" s="41">
        <f>H153*(1-0.937669130187607)</f>
        <v>0</v>
      </c>
      <c r="AL153" s="42" t="s">
        <v>13</v>
      </c>
      <c r="AQ153" s="41">
        <f t="shared" si="165"/>
        <v>0</v>
      </c>
      <c r="AR153" s="41">
        <f t="shared" si="166"/>
        <v>0</v>
      </c>
      <c r="AS153" s="41">
        <f t="shared" si="167"/>
        <v>0</v>
      </c>
      <c r="AT153" s="44" t="s">
        <v>2436</v>
      </c>
      <c r="AU153" s="44" t="s">
        <v>2480</v>
      </c>
      <c r="AV153" s="31" t="s">
        <v>2486</v>
      </c>
      <c r="AX153" s="41">
        <f t="shared" si="168"/>
        <v>0</v>
      </c>
      <c r="AY153" s="41">
        <f t="shared" si="169"/>
        <v>0</v>
      </c>
      <c r="AZ153" s="41">
        <v>0</v>
      </c>
      <c r="BA153" s="41">
        <f t="shared" si="170"/>
        <v>0.38375999999999999</v>
      </c>
      <c r="BC153" s="21">
        <f t="shared" si="171"/>
        <v>0</v>
      </c>
      <c r="BD153" s="21">
        <f t="shared" si="172"/>
        <v>0</v>
      </c>
      <c r="BE153" s="21">
        <f t="shared" si="173"/>
        <v>0</v>
      </c>
      <c r="BF153" s="21" t="s">
        <v>2492</v>
      </c>
      <c r="BG153" s="41">
        <v>725</v>
      </c>
    </row>
    <row r="154" spans="1:59" x14ac:dyDescent="0.3">
      <c r="A154" s="4" t="s">
        <v>140</v>
      </c>
      <c r="B154" s="13"/>
      <c r="C154" s="13" t="s">
        <v>1109</v>
      </c>
      <c r="D154" s="101" t="s">
        <v>1770</v>
      </c>
      <c r="E154" s="102"/>
      <c r="F154" s="13" t="s">
        <v>2392</v>
      </c>
      <c r="G154" s="21">
        <v>1</v>
      </c>
      <c r="H154" s="21">
        <v>0</v>
      </c>
      <c r="I154" s="21">
        <f t="shared" si="148"/>
        <v>0</v>
      </c>
      <c r="J154" s="21">
        <f t="shared" si="149"/>
        <v>0</v>
      </c>
      <c r="K154" s="21">
        <f t="shared" si="150"/>
        <v>0</v>
      </c>
      <c r="L154" s="21">
        <v>1.8870000000000001E-2</v>
      </c>
      <c r="M154" s="21">
        <f t="shared" si="151"/>
        <v>1.8870000000000001E-2</v>
      </c>
      <c r="N154" s="35" t="s">
        <v>2417</v>
      </c>
      <c r="O154" s="39"/>
      <c r="U154" s="41">
        <f t="shared" si="152"/>
        <v>0</v>
      </c>
      <c r="W154" s="41">
        <f t="shared" si="153"/>
        <v>0</v>
      </c>
      <c r="X154" s="41">
        <f t="shared" si="154"/>
        <v>0</v>
      </c>
      <c r="Y154" s="41">
        <f t="shared" si="155"/>
        <v>0</v>
      </c>
      <c r="Z154" s="41">
        <f t="shared" si="156"/>
        <v>0</v>
      </c>
      <c r="AA154" s="41">
        <f t="shared" si="157"/>
        <v>0</v>
      </c>
      <c r="AB154" s="41">
        <f t="shared" si="158"/>
        <v>0</v>
      </c>
      <c r="AC154" s="41">
        <f t="shared" si="159"/>
        <v>0</v>
      </c>
      <c r="AD154" s="31"/>
      <c r="AE154" s="21">
        <f t="shared" si="160"/>
        <v>0</v>
      </c>
      <c r="AF154" s="21">
        <f t="shared" si="161"/>
        <v>0</v>
      </c>
      <c r="AG154" s="21">
        <f t="shared" si="162"/>
        <v>0</v>
      </c>
      <c r="AI154" s="41">
        <v>21</v>
      </c>
      <c r="AJ154" s="41">
        <f>H154*0.917995512341062</f>
        <v>0</v>
      </c>
      <c r="AK154" s="41">
        <f>H154*(1-0.917995512341062)</f>
        <v>0</v>
      </c>
      <c r="AL154" s="42" t="s">
        <v>13</v>
      </c>
      <c r="AQ154" s="41">
        <f t="shared" si="165"/>
        <v>0</v>
      </c>
      <c r="AR154" s="41">
        <f t="shared" si="166"/>
        <v>0</v>
      </c>
      <c r="AS154" s="41">
        <f t="shared" si="167"/>
        <v>0</v>
      </c>
      <c r="AT154" s="44" t="s">
        <v>2436</v>
      </c>
      <c r="AU154" s="44" t="s">
        <v>2480</v>
      </c>
      <c r="AV154" s="31" t="s">
        <v>2486</v>
      </c>
      <c r="AX154" s="41">
        <f t="shared" si="168"/>
        <v>0</v>
      </c>
      <c r="AY154" s="41">
        <f t="shared" si="169"/>
        <v>0</v>
      </c>
      <c r="AZ154" s="41">
        <v>0</v>
      </c>
      <c r="BA154" s="41">
        <f t="shared" si="170"/>
        <v>1.8870000000000001E-2</v>
      </c>
      <c r="BC154" s="21">
        <f t="shared" si="171"/>
        <v>0</v>
      </c>
      <c r="BD154" s="21">
        <f t="shared" si="172"/>
        <v>0</v>
      </c>
      <c r="BE154" s="21">
        <f t="shared" si="173"/>
        <v>0</v>
      </c>
      <c r="BF154" s="21" t="s">
        <v>2492</v>
      </c>
      <c r="BG154" s="41">
        <v>725</v>
      </c>
    </row>
    <row r="155" spans="1:59" x14ac:dyDescent="0.3">
      <c r="A155" s="4" t="s">
        <v>141</v>
      </c>
      <c r="B155" s="13"/>
      <c r="C155" s="13" t="s">
        <v>1110</v>
      </c>
      <c r="D155" s="101" t="s">
        <v>1771</v>
      </c>
      <c r="E155" s="102"/>
      <c r="F155" s="13" t="s">
        <v>2391</v>
      </c>
      <c r="G155" s="21">
        <v>6</v>
      </c>
      <c r="H155" s="21">
        <v>0</v>
      </c>
      <c r="I155" s="21">
        <f t="shared" si="148"/>
        <v>0</v>
      </c>
      <c r="J155" s="21">
        <f t="shared" si="149"/>
        <v>0</v>
      </c>
      <c r="K155" s="21">
        <f t="shared" si="150"/>
        <v>0</v>
      </c>
      <c r="L155" s="21">
        <v>1.0200000000000001E-3</v>
      </c>
      <c r="M155" s="21">
        <f t="shared" si="151"/>
        <v>6.1200000000000004E-3</v>
      </c>
      <c r="N155" s="35" t="s">
        <v>2417</v>
      </c>
      <c r="O155" s="39"/>
      <c r="U155" s="41">
        <f t="shared" si="152"/>
        <v>0</v>
      </c>
      <c r="W155" s="41">
        <f t="shared" si="153"/>
        <v>0</v>
      </c>
      <c r="X155" s="41">
        <f t="shared" si="154"/>
        <v>0</v>
      </c>
      <c r="Y155" s="41">
        <f t="shared" si="155"/>
        <v>0</v>
      </c>
      <c r="Z155" s="41">
        <f t="shared" si="156"/>
        <v>0</v>
      </c>
      <c r="AA155" s="41">
        <f t="shared" si="157"/>
        <v>0</v>
      </c>
      <c r="AB155" s="41">
        <f t="shared" si="158"/>
        <v>0</v>
      </c>
      <c r="AC155" s="41">
        <f t="shared" si="159"/>
        <v>0</v>
      </c>
      <c r="AD155" s="31"/>
      <c r="AE155" s="21">
        <f t="shared" si="160"/>
        <v>0</v>
      </c>
      <c r="AF155" s="21">
        <f t="shared" si="161"/>
        <v>0</v>
      </c>
      <c r="AG155" s="21">
        <f t="shared" si="162"/>
        <v>0</v>
      </c>
      <c r="AI155" s="41">
        <v>21</v>
      </c>
      <c r="AJ155" s="41">
        <f>H155*0.954237720358991</f>
        <v>0</v>
      </c>
      <c r="AK155" s="41">
        <f>H155*(1-0.954237720358991)</f>
        <v>0</v>
      </c>
      <c r="AL155" s="42" t="s">
        <v>13</v>
      </c>
      <c r="AQ155" s="41">
        <f t="shared" si="165"/>
        <v>0</v>
      </c>
      <c r="AR155" s="41">
        <f t="shared" si="166"/>
        <v>0</v>
      </c>
      <c r="AS155" s="41">
        <f t="shared" si="167"/>
        <v>0</v>
      </c>
      <c r="AT155" s="44" t="s">
        <v>2436</v>
      </c>
      <c r="AU155" s="44" t="s">
        <v>2480</v>
      </c>
      <c r="AV155" s="31" t="s">
        <v>2486</v>
      </c>
      <c r="AX155" s="41">
        <f t="shared" si="168"/>
        <v>0</v>
      </c>
      <c r="AY155" s="41">
        <f t="shared" si="169"/>
        <v>0</v>
      </c>
      <c r="AZ155" s="41">
        <v>0</v>
      </c>
      <c r="BA155" s="41">
        <f t="shared" si="170"/>
        <v>6.1200000000000004E-3</v>
      </c>
      <c r="BC155" s="21">
        <f t="shared" si="171"/>
        <v>0</v>
      </c>
      <c r="BD155" s="21">
        <f t="shared" si="172"/>
        <v>0</v>
      </c>
      <c r="BE155" s="21">
        <f t="shared" si="173"/>
        <v>0</v>
      </c>
      <c r="BF155" s="21" t="s">
        <v>2492</v>
      </c>
      <c r="BG155" s="41">
        <v>725</v>
      </c>
    </row>
    <row r="156" spans="1:59" x14ac:dyDescent="0.3">
      <c r="A156" s="4" t="s">
        <v>142</v>
      </c>
      <c r="B156" s="13"/>
      <c r="C156" s="13" t="s">
        <v>1111</v>
      </c>
      <c r="D156" s="101" t="s">
        <v>1772</v>
      </c>
      <c r="E156" s="102"/>
      <c r="F156" s="13" t="s">
        <v>2391</v>
      </c>
      <c r="G156" s="21">
        <v>1</v>
      </c>
      <c r="H156" s="21">
        <v>0</v>
      </c>
      <c r="I156" s="21">
        <f t="shared" si="148"/>
        <v>0</v>
      </c>
      <c r="J156" s="21">
        <f t="shared" si="149"/>
        <v>0</v>
      </c>
      <c r="K156" s="21">
        <f t="shared" si="150"/>
        <v>0</v>
      </c>
      <c r="L156" s="21">
        <v>3.3E-3</v>
      </c>
      <c r="M156" s="21">
        <f t="shared" si="151"/>
        <v>3.3E-3</v>
      </c>
      <c r="N156" s="35" t="s">
        <v>2417</v>
      </c>
      <c r="O156" s="39"/>
      <c r="U156" s="41">
        <f t="shared" si="152"/>
        <v>0</v>
      </c>
      <c r="W156" s="41">
        <f t="shared" si="153"/>
        <v>0</v>
      </c>
      <c r="X156" s="41">
        <f t="shared" si="154"/>
        <v>0</v>
      </c>
      <c r="Y156" s="41">
        <f t="shared" si="155"/>
        <v>0</v>
      </c>
      <c r="Z156" s="41">
        <f t="shared" si="156"/>
        <v>0</v>
      </c>
      <c r="AA156" s="41">
        <f t="shared" si="157"/>
        <v>0</v>
      </c>
      <c r="AB156" s="41">
        <f t="shared" si="158"/>
        <v>0</v>
      </c>
      <c r="AC156" s="41">
        <f t="shared" si="159"/>
        <v>0</v>
      </c>
      <c r="AD156" s="31"/>
      <c r="AE156" s="21">
        <f t="shared" si="160"/>
        <v>0</v>
      </c>
      <c r="AF156" s="21">
        <f t="shared" si="161"/>
        <v>0</v>
      </c>
      <c r="AG156" s="21">
        <f t="shared" si="162"/>
        <v>0</v>
      </c>
      <c r="AI156" s="41">
        <v>21</v>
      </c>
      <c r="AJ156" s="41">
        <f>H156*0.970250555851721</f>
        <v>0</v>
      </c>
      <c r="AK156" s="41">
        <f>H156*(1-0.970250555851721)</f>
        <v>0</v>
      </c>
      <c r="AL156" s="42" t="s">
        <v>13</v>
      </c>
      <c r="AQ156" s="41">
        <f t="shared" si="165"/>
        <v>0</v>
      </c>
      <c r="AR156" s="41">
        <f t="shared" si="166"/>
        <v>0</v>
      </c>
      <c r="AS156" s="41">
        <f t="shared" si="167"/>
        <v>0</v>
      </c>
      <c r="AT156" s="44" t="s">
        <v>2436</v>
      </c>
      <c r="AU156" s="44" t="s">
        <v>2480</v>
      </c>
      <c r="AV156" s="31" t="s">
        <v>2486</v>
      </c>
      <c r="AX156" s="41">
        <f t="shared" si="168"/>
        <v>0</v>
      </c>
      <c r="AY156" s="41">
        <f t="shared" si="169"/>
        <v>0</v>
      </c>
      <c r="AZ156" s="41">
        <v>0</v>
      </c>
      <c r="BA156" s="41">
        <f t="shared" si="170"/>
        <v>3.3E-3</v>
      </c>
      <c r="BC156" s="21">
        <f t="shared" si="171"/>
        <v>0</v>
      </c>
      <c r="BD156" s="21">
        <f t="shared" si="172"/>
        <v>0</v>
      </c>
      <c r="BE156" s="21">
        <f t="shared" si="173"/>
        <v>0</v>
      </c>
      <c r="BF156" s="21" t="s">
        <v>2492</v>
      </c>
      <c r="BG156" s="41">
        <v>725</v>
      </c>
    </row>
    <row r="157" spans="1:59" x14ac:dyDescent="0.3">
      <c r="A157" s="4" t="s">
        <v>143</v>
      </c>
      <c r="B157" s="13"/>
      <c r="C157" s="13" t="s">
        <v>1112</v>
      </c>
      <c r="D157" s="101" t="s">
        <v>1773</v>
      </c>
      <c r="E157" s="102"/>
      <c r="F157" s="13" t="s">
        <v>2392</v>
      </c>
      <c r="G157" s="21">
        <v>11</v>
      </c>
      <c r="H157" s="21">
        <v>0</v>
      </c>
      <c r="I157" s="21">
        <f t="shared" si="148"/>
        <v>0</v>
      </c>
      <c r="J157" s="21">
        <f t="shared" si="149"/>
        <v>0</v>
      </c>
      <c r="K157" s="21">
        <f t="shared" si="150"/>
        <v>0</v>
      </c>
      <c r="L157" s="21">
        <v>2.0549999999999999E-2</v>
      </c>
      <c r="M157" s="21">
        <f t="shared" si="151"/>
        <v>0.22604999999999997</v>
      </c>
      <c r="N157" s="35" t="s">
        <v>2417</v>
      </c>
      <c r="O157" s="39"/>
      <c r="U157" s="41">
        <f t="shared" si="152"/>
        <v>0</v>
      </c>
      <c r="W157" s="41">
        <f t="shared" si="153"/>
        <v>0</v>
      </c>
      <c r="X157" s="41">
        <f t="shared" si="154"/>
        <v>0</v>
      </c>
      <c r="Y157" s="41">
        <f t="shared" si="155"/>
        <v>0</v>
      </c>
      <c r="Z157" s="41">
        <f t="shared" si="156"/>
        <v>0</v>
      </c>
      <c r="AA157" s="41">
        <f t="shared" si="157"/>
        <v>0</v>
      </c>
      <c r="AB157" s="41">
        <f t="shared" si="158"/>
        <v>0</v>
      </c>
      <c r="AC157" s="41">
        <f t="shared" si="159"/>
        <v>0</v>
      </c>
      <c r="AD157" s="31"/>
      <c r="AE157" s="21">
        <f t="shared" si="160"/>
        <v>0</v>
      </c>
      <c r="AF157" s="21">
        <f t="shared" si="161"/>
        <v>0</v>
      </c>
      <c r="AG157" s="21">
        <f t="shared" si="162"/>
        <v>0</v>
      </c>
      <c r="AI157" s="41">
        <v>21</v>
      </c>
      <c r="AJ157" s="41">
        <f>H157*0.966055479452055</f>
        <v>0</v>
      </c>
      <c r="AK157" s="41">
        <f>H157*(1-0.966055479452055)</f>
        <v>0</v>
      </c>
      <c r="AL157" s="42" t="s">
        <v>13</v>
      </c>
      <c r="AQ157" s="41">
        <f t="shared" si="165"/>
        <v>0</v>
      </c>
      <c r="AR157" s="41">
        <f t="shared" si="166"/>
        <v>0</v>
      </c>
      <c r="AS157" s="41">
        <f t="shared" si="167"/>
        <v>0</v>
      </c>
      <c r="AT157" s="44" t="s">
        <v>2436</v>
      </c>
      <c r="AU157" s="44" t="s">
        <v>2480</v>
      </c>
      <c r="AV157" s="31" t="s">
        <v>2486</v>
      </c>
      <c r="AX157" s="41">
        <f t="shared" si="168"/>
        <v>0</v>
      </c>
      <c r="AY157" s="41">
        <f t="shared" si="169"/>
        <v>0</v>
      </c>
      <c r="AZ157" s="41">
        <v>0</v>
      </c>
      <c r="BA157" s="41">
        <f t="shared" si="170"/>
        <v>0.22604999999999997</v>
      </c>
      <c r="BC157" s="21">
        <f t="shared" si="171"/>
        <v>0</v>
      </c>
      <c r="BD157" s="21">
        <f t="shared" si="172"/>
        <v>0</v>
      </c>
      <c r="BE157" s="21">
        <f t="shared" si="173"/>
        <v>0</v>
      </c>
      <c r="BF157" s="21" t="s">
        <v>2492</v>
      </c>
      <c r="BG157" s="41">
        <v>725</v>
      </c>
    </row>
    <row r="158" spans="1:59" x14ac:dyDescent="0.3">
      <c r="A158" s="4" t="s">
        <v>144</v>
      </c>
      <c r="B158" s="13"/>
      <c r="C158" s="13" t="s">
        <v>1113</v>
      </c>
      <c r="D158" s="101" t="s">
        <v>1774</v>
      </c>
      <c r="E158" s="102"/>
      <c r="F158" s="13" t="s">
        <v>2392</v>
      </c>
      <c r="G158" s="21">
        <v>3</v>
      </c>
      <c r="H158" s="21">
        <v>0</v>
      </c>
      <c r="I158" s="21">
        <f t="shared" si="148"/>
        <v>0</v>
      </c>
      <c r="J158" s="21">
        <f t="shared" si="149"/>
        <v>0</v>
      </c>
      <c r="K158" s="21">
        <f t="shared" si="150"/>
        <v>0</v>
      </c>
      <c r="L158" s="21">
        <v>1.0880000000000001E-2</v>
      </c>
      <c r="M158" s="21">
        <f t="shared" si="151"/>
        <v>3.2640000000000002E-2</v>
      </c>
      <c r="N158" s="35" t="s">
        <v>2417</v>
      </c>
      <c r="O158" s="39"/>
      <c r="U158" s="41">
        <f t="shared" si="152"/>
        <v>0</v>
      </c>
      <c r="W158" s="41">
        <f t="shared" si="153"/>
        <v>0</v>
      </c>
      <c r="X158" s="41">
        <f t="shared" si="154"/>
        <v>0</v>
      </c>
      <c r="Y158" s="41">
        <f t="shared" si="155"/>
        <v>0</v>
      </c>
      <c r="Z158" s="41">
        <f t="shared" si="156"/>
        <v>0</v>
      </c>
      <c r="AA158" s="41">
        <f t="shared" si="157"/>
        <v>0</v>
      </c>
      <c r="AB158" s="41">
        <f t="shared" si="158"/>
        <v>0</v>
      </c>
      <c r="AC158" s="41">
        <f t="shared" si="159"/>
        <v>0</v>
      </c>
      <c r="AD158" s="31"/>
      <c r="AE158" s="21">
        <f t="shared" si="160"/>
        <v>0</v>
      </c>
      <c r="AF158" s="21">
        <f t="shared" si="161"/>
        <v>0</v>
      </c>
      <c r="AG158" s="21">
        <f t="shared" si="162"/>
        <v>0</v>
      </c>
      <c r="AI158" s="41">
        <v>21</v>
      </c>
      <c r="AJ158" s="41">
        <f>H158*0.875683805267088</f>
        <v>0</v>
      </c>
      <c r="AK158" s="41">
        <f>H158*(1-0.875683805267088)</f>
        <v>0</v>
      </c>
      <c r="AL158" s="42" t="s">
        <v>13</v>
      </c>
      <c r="AQ158" s="41">
        <f t="shared" si="165"/>
        <v>0</v>
      </c>
      <c r="AR158" s="41">
        <f t="shared" si="166"/>
        <v>0</v>
      </c>
      <c r="AS158" s="41">
        <f t="shared" si="167"/>
        <v>0</v>
      </c>
      <c r="AT158" s="44" t="s">
        <v>2436</v>
      </c>
      <c r="AU158" s="44" t="s">
        <v>2480</v>
      </c>
      <c r="AV158" s="31" t="s">
        <v>2486</v>
      </c>
      <c r="AX158" s="41">
        <f t="shared" si="168"/>
        <v>0</v>
      </c>
      <c r="AY158" s="41">
        <f t="shared" si="169"/>
        <v>0</v>
      </c>
      <c r="AZ158" s="41">
        <v>0</v>
      </c>
      <c r="BA158" s="41">
        <f t="shared" si="170"/>
        <v>3.2640000000000002E-2</v>
      </c>
      <c r="BC158" s="21">
        <f t="shared" si="171"/>
        <v>0</v>
      </c>
      <c r="BD158" s="21">
        <f t="shared" si="172"/>
        <v>0</v>
      </c>
      <c r="BE158" s="21">
        <f t="shared" si="173"/>
        <v>0</v>
      </c>
      <c r="BF158" s="21" t="s">
        <v>2492</v>
      </c>
      <c r="BG158" s="41">
        <v>725</v>
      </c>
    </row>
    <row r="159" spans="1:59" x14ac:dyDescent="0.3">
      <c r="A159" s="4" t="s">
        <v>145</v>
      </c>
      <c r="B159" s="13"/>
      <c r="C159" s="13" t="s">
        <v>1114</v>
      </c>
      <c r="D159" s="101" t="s">
        <v>1775</v>
      </c>
      <c r="E159" s="102"/>
      <c r="F159" s="13" t="s">
        <v>2391</v>
      </c>
      <c r="G159" s="21">
        <v>3</v>
      </c>
      <c r="H159" s="21">
        <v>0</v>
      </c>
      <c r="I159" s="21">
        <f t="shared" si="148"/>
        <v>0</v>
      </c>
      <c r="J159" s="21">
        <f t="shared" si="149"/>
        <v>0</v>
      </c>
      <c r="K159" s="21">
        <f t="shared" si="150"/>
        <v>0</v>
      </c>
      <c r="L159" s="21">
        <v>1.0200000000000001E-3</v>
      </c>
      <c r="M159" s="21">
        <f t="shared" si="151"/>
        <v>3.0600000000000002E-3</v>
      </c>
      <c r="N159" s="35" t="s">
        <v>2417</v>
      </c>
      <c r="O159" s="39"/>
      <c r="U159" s="41">
        <f t="shared" si="152"/>
        <v>0</v>
      </c>
      <c r="W159" s="41">
        <f t="shared" si="153"/>
        <v>0</v>
      </c>
      <c r="X159" s="41">
        <f t="shared" si="154"/>
        <v>0</v>
      </c>
      <c r="Y159" s="41">
        <f t="shared" si="155"/>
        <v>0</v>
      </c>
      <c r="Z159" s="41">
        <f t="shared" si="156"/>
        <v>0</v>
      </c>
      <c r="AA159" s="41">
        <f t="shared" si="157"/>
        <v>0</v>
      </c>
      <c r="AB159" s="41">
        <f t="shared" si="158"/>
        <v>0</v>
      </c>
      <c r="AC159" s="41">
        <f t="shared" si="159"/>
        <v>0</v>
      </c>
      <c r="AD159" s="31"/>
      <c r="AE159" s="21">
        <f t="shared" si="160"/>
        <v>0</v>
      </c>
      <c r="AF159" s="21">
        <f t="shared" si="161"/>
        <v>0</v>
      </c>
      <c r="AG159" s="21">
        <f t="shared" si="162"/>
        <v>0</v>
      </c>
      <c r="AI159" s="41">
        <v>21</v>
      </c>
      <c r="AJ159" s="41">
        <f>H159*0.902748414376321</f>
        <v>0</v>
      </c>
      <c r="AK159" s="41">
        <f>H159*(1-0.902748414376321)</f>
        <v>0</v>
      </c>
      <c r="AL159" s="42" t="s">
        <v>13</v>
      </c>
      <c r="AQ159" s="41">
        <f t="shared" si="165"/>
        <v>0</v>
      </c>
      <c r="AR159" s="41">
        <f t="shared" si="166"/>
        <v>0</v>
      </c>
      <c r="AS159" s="41">
        <f t="shared" si="167"/>
        <v>0</v>
      </c>
      <c r="AT159" s="44" t="s">
        <v>2436</v>
      </c>
      <c r="AU159" s="44" t="s">
        <v>2480</v>
      </c>
      <c r="AV159" s="31" t="s">
        <v>2486</v>
      </c>
      <c r="AX159" s="41">
        <f t="shared" si="168"/>
        <v>0</v>
      </c>
      <c r="AY159" s="41">
        <f t="shared" si="169"/>
        <v>0</v>
      </c>
      <c r="AZ159" s="41">
        <v>0</v>
      </c>
      <c r="BA159" s="41">
        <f t="shared" si="170"/>
        <v>3.0600000000000002E-3</v>
      </c>
      <c r="BC159" s="21">
        <f t="shared" si="171"/>
        <v>0</v>
      </c>
      <c r="BD159" s="21">
        <f t="shared" si="172"/>
        <v>0</v>
      </c>
      <c r="BE159" s="21">
        <f t="shared" si="173"/>
        <v>0</v>
      </c>
      <c r="BF159" s="21" t="s">
        <v>2492</v>
      </c>
      <c r="BG159" s="41">
        <v>725</v>
      </c>
    </row>
    <row r="160" spans="1:59" x14ac:dyDescent="0.3">
      <c r="A160" s="4" t="s">
        <v>146</v>
      </c>
      <c r="B160" s="13"/>
      <c r="C160" s="13" t="s">
        <v>1115</v>
      </c>
      <c r="D160" s="101" t="s">
        <v>1776</v>
      </c>
      <c r="E160" s="102"/>
      <c r="F160" s="13" t="s">
        <v>2391</v>
      </c>
      <c r="G160" s="21">
        <v>16</v>
      </c>
      <c r="H160" s="21">
        <v>0</v>
      </c>
      <c r="I160" s="21">
        <f t="shared" si="148"/>
        <v>0</v>
      </c>
      <c r="J160" s="21">
        <f t="shared" si="149"/>
        <v>0</v>
      </c>
      <c r="K160" s="21">
        <f t="shared" si="150"/>
        <v>0</v>
      </c>
      <c r="L160" s="21">
        <v>4.2000000000000002E-4</v>
      </c>
      <c r="M160" s="21">
        <f t="shared" si="151"/>
        <v>6.7200000000000003E-3</v>
      </c>
      <c r="N160" s="35" t="s">
        <v>2417</v>
      </c>
      <c r="O160" s="39"/>
      <c r="U160" s="41">
        <f t="shared" si="152"/>
        <v>0</v>
      </c>
      <c r="W160" s="41">
        <f t="shared" si="153"/>
        <v>0</v>
      </c>
      <c r="X160" s="41">
        <f t="shared" si="154"/>
        <v>0</v>
      </c>
      <c r="Y160" s="41">
        <f t="shared" si="155"/>
        <v>0</v>
      </c>
      <c r="Z160" s="41">
        <f t="shared" si="156"/>
        <v>0</v>
      </c>
      <c r="AA160" s="41">
        <f t="shared" si="157"/>
        <v>0</v>
      </c>
      <c r="AB160" s="41">
        <f t="shared" si="158"/>
        <v>0</v>
      </c>
      <c r="AC160" s="41">
        <f t="shared" si="159"/>
        <v>0</v>
      </c>
      <c r="AD160" s="31"/>
      <c r="AE160" s="21">
        <f t="shared" si="160"/>
        <v>0</v>
      </c>
      <c r="AF160" s="21">
        <f t="shared" si="161"/>
        <v>0</v>
      </c>
      <c r="AG160" s="21">
        <f t="shared" si="162"/>
        <v>0</v>
      </c>
      <c r="AI160" s="41">
        <v>21</v>
      </c>
      <c r="AJ160" s="41">
        <f>H160*0.886792118191653</f>
        <v>0</v>
      </c>
      <c r="AK160" s="41">
        <f>H160*(1-0.886792118191653)</f>
        <v>0</v>
      </c>
      <c r="AL160" s="42" t="s">
        <v>13</v>
      </c>
      <c r="AQ160" s="41">
        <f t="shared" si="165"/>
        <v>0</v>
      </c>
      <c r="AR160" s="41">
        <f t="shared" si="166"/>
        <v>0</v>
      </c>
      <c r="AS160" s="41">
        <f t="shared" si="167"/>
        <v>0</v>
      </c>
      <c r="AT160" s="44" t="s">
        <v>2436</v>
      </c>
      <c r="AU160" s="44" t="s">
        <v>2480</v>
      </c>
      <c r="AV160" s="31" t="s">
        <v>2486</v>
      </c>
      <c r="AX160" s="41">
        <f t="shared" si="168"/>
        <v>0</v>
      </c>
      <c r="AY160" s="41">
        <f t="shared" si="169"/>
        <v>0</v>
      </c>
      <c r="AZ160" s="41">
        <v>0</v>
      </c>
      <c r="BA160" s="41">
        <f t="shared" si="170"/>
        <v>6.7200000000000003E-3</v>
      </c>
      <c r="BC160" s="21">
        <f t="shared" si="171"/>
        <v>0</v>
      </c>
      <c r="BD160" s="21">
        <f t="shared" si="172"/>
        <v>0</v>
      </c>
      <c r="BE160" s="21">
        <f t="shared" si="173"/>
        <v>0</v>
      </c>
      <c r="BF160" s="21" t="s">
        <v>2492</v>
      </c>
      <c r="BG160" s="41">
        <v>725</v>
      </c>
    </row>
    <row r="161" spans="1:59" x14ac:dyDescent="0.3">
      <c r="A161" s="4" t="s">
        <v>147</v>
      </c>
      <c r="B161" s="13"/>
      <c r="C161" s="13" t="s">
        <v>1116</v>
      </c>
      <c r="D161" s="101" t="s">
        <v>1777</v>
      </c>
      <c r="E161" s="102"/>
      <c r="F161" s="13" t="s">
        <v>2391</v>
      </c>
      <c r="G161" s="21">
        <v>4</v>
      </c>
      <c r="H161" s="21">
        <v>0</v>
      </c>
      <c r="I161" s="21">
        <f t="shared" si="148"/>
        <v>0</v>
      </c>
      <c r="J161" s="21">
        <f t="shared" si="149"/>
        <v>0</v>
      </c>
      <c r="K161" s="21">
        <f t="shared" si="150"/>
        <v>0</v>
      </c>
      <c r="L161" s="21">
        <v>1.6000000000000001E-3</v>
      </c>
      <c r="M161" s="21">
        <f t="shared" si="151"/>
        <v>6.4000000000000003E-3</v>
      </c>
      <c r="N161" s="35" t="s">
        <v>2417</v>
      </c>
      <c r="O161" s="39"/>
      <c r="U161" s="41">
        <f t="shared" si="152"/>
        <v>0</v>
      </c>
      <c r="W161" s="41">
        <f t="shared" si="153"/>
        <v>0</v>
      </c>
      <c r="X161" s="41">
        <f t="shared" si="154"/>
        <v>0</v>
      </c>
      <c r="Y161" s="41">
        <f t="shared" si="155"/>
        <v>0</v>
      </c>
      <c r="Z161" s="41">
        <f t="shared" si="156"/>
        <v>0</v>
      </c>
      <c r="AA161" s="41">
        <f t="shared" si="157"/>
        <v>0</v>
      </c>
      <c r="AB161" s="41">
        <f t="shared" si="158"/>
        <v>0</v>
      </c>
      <c r="AC161" s="41">
        <f t="shared" si="159"/>
        <v>0</v>
      </c>
      <c r="AD161" s="31"/>
      <c r="AE161" s="21">
        <f t="shared" si="160"/>
        <v>0</v>
      </c>
      <c r="AF161" s="21">
        <f t="shared" si="161"/>
        <v>0</v>
      </c>
      <c r="AG161" s="21">
        <f t="shared" si="162"/>
        <v>0</v>
      </c>
      <c r="AI161" s="41">
        <v>21</v>
      </c>
      <c r="AJ161" s="41">
        <f>H161*0.982546200456053</f>
        <v>0</v>
      </c>
      <c r="AK161" s="41">
        <f>H161*(1-0.982546200456053)</f>
        <v>0</v>
      </c>
      <c r="AL161" s="42" t="s">
        <v>13</v>
      </c>
      <c r="AQ161" s="41">
        <f t="shared" si="165"/>
        <v>0</v>
      </c>
      <c r="AR161" s="41">
        <f t="shared" si="166"/>
        <v>0</v>
      </c>
      <c r="AS161" s="41">
        <f t="shared" si="167"/>
        <v>0</v>
      </c>
      <c r="AT161" s="44" t="s">
        <v>2436</v>
      </c>
      <c r="AU161" s="44" t="s">
        <v>2480</v>
      </c>
      <c r="AV161" s="31" t="s">
        <v>2486</v>
      </c>
      <c r="AX161" s="41">
        <f t="shared" si="168"/>
        <v>0</v>
      </c>
      <c r="AY161" s="41">
        <f t="shared" si="169"/>
        <v>0</v>
      </c>
      <c r="AZ161" s="41">
        <v>0</v>
      </c>
      <c r="BA161" s="41">
        <f t="shared" si="170"/>
        <v>6.4000000000000003E-3</v>
      </c>
      <c r="BC161" s="21">
        <f t="shared" si="171"/>
        <v>0</v>
      </c>
      <c r="BD161" s="21">
        <f t="shared" si="172"/>
        <v>0</v>
      </c>
      <c r="BE161" s="21">
        <f t="shared" si="173"/>
        <v>0</v>
      </c>
      <c r="BF161" s="21" t="s">
        <v>2492</v>
      </c>
      <c r="BG161" s="41">
        <v>725</v>
      </c>
    </row>
    <row r="162" spans="1:59" x14ac:dyDescent="0.3">
      <c r="A162" s="4" t="s">
        <v>148</v>
      </c>
      <c r="B162" s="13"/>
      <c r="C162" s="13" t="s">
        <v>1117</v>
      </c>
      <c r="D162" s="101" t="s">
        <v>1778</v>
      </c>
      <c r="E162" s="102"/>
      <c r="F162" s="13" t="s">
        <v>2391</v>
      </c>
      <c r="G162" s="21">
        <v>12</v>
      </c>
      <c r="H162" s="21">
        <v>0</v>
      </c>
      <c r="I162" s="21">
        <f t="shared" si="148"/>
        <v>0</v>
      </c>
      <c r="J162" s="21">
        <f t="shared" si="149"/>
        <v>0</v>
      </c>
      <c r="K162" s="21">
        <f t="shared" si="150"/>
        <v>0</v>
      </c>
      <c r="L162" s="21">
        <v>1.6000000000000001E-3</v>
      </c>
      <c r="M162" s="21">
        <f t="shared" si="151"/>
        <v>1.9200000000000002E-2</v>
      </c>
      <c r="N162" s="35" t="s">
        <v>2417</v>
      </c>
      <c r="O162" s="39"/>
      <c r="U162" s="41">
        <f t="shared" si="152"/>
        <v>0</v>
      </c>
      <c r="W162" s="41">
        <f t="shared" si="153"/>
        <v>0</v>
      </c>
      <c r="X162" s="41">
        <f t="shared" si="154"/>
        <v>0</v>
      </c>
      <c r="Y162" s="41">
        <f t="shared" si="155"/>
        <v>0</v>
      </c>
      <c r="Z162" s="41">
        <f t="shared" si="156"/>
        <v>0</v>
      </c>
      <c r="AA162" s="41">
        <f t="shared" si="157"/>
        <v>0</v>
      </c>
      <c r="AB162" s="41">
        <f t="shared" si="158"/>
        <v>0</v>
      </c>
      <c r="AC162" s="41">
        <f t="shared" si="159"/>
        <v>0</v>
      </c>
      <c r="AD162" s="31"/>
      <c r="AE162" s="21">
        <f t="shared" si="160"/>
        <v>0</v>
      </c>
      <c r="AF162" s="21">
        <f t="shared" si="161"/>
        <v>0</v>
      </c>
      <c r="AG162" s="21">
        <f t="shared" si="162"/>
        <v>0</v>
      </c>
      <c r="AI162" s="41">
        <v>21</v>
      </c>
      <c r="AJ162" s="41">
        <f>H162*0.918543209876543</f>
        <v>0</v>
      </c>
      <c r="AK162" s="41">
        <f>H162*(1-0.918543209876543)</f>
        <v>0</v>
      </c>
      <c r="AL162" s="42" t="s">
        <v>13</v>
      </c>
      <c r="AQ162" s="41">
        <f t="shared" si="165"/>
        <v>0</v>
      </c>
      <c r="AR162" s="41">
        <f t="shared" si="166"/>
        <v>0</v>
      </c>
      <c r="AS162" s="41">
        <f t="shared" si="167"/>
        <v>0</v>
      </c>
      <c r="AT162" s="44" t="s">
        <v>2436</v>
      </c>
      <c r="AU162" s="44" t="s">
        <v>2480</v>
      </c>
      <c r="AV162" s="31" t="s">
        <v>2486</v>
      </c>
      <c r="AX162" s="41">
        <f t="shared" si="168"/>
        <v>0</v>
      </c>
      <c r="AY162" s="41">
        <f t="shared" si="169"/>
        <v>0</v>
      </c>
      <c r="AZ162" s="41">
        <v>0</v>
      </c>
      <c r="BA162" s="41">
        <f t="shared" si="170"/>
        <v>1.9200000000000002E-2</v>
      </c>
      <c r="BC162" s="21">
        <f t="shared" si="171"/>
        <v>0</v>
      </c>
      <c r="BD162" s="21">
        <f t="shared" si="172"/>
        <v>0</v>
      </c>
      <c r="BE162" s="21">
        <f t="shared" si="173"/>
        <v>0</v>
      </c>
      <c r="BF162" s="21" t="s">
        <v>2492</v>
      </c>
      <c r="BG162" s="41">
        <v>725</v>
      </c>
    </row>
    <row r="163" spans="1:59" x14ac:dyDescent="0.3">
      <c r="A163" s="6" t="s">
        <v>149</v>
      </c>
      <c r="B163" s="15"/>
      <c r="C163" s="15" t="s">
        <v>1118</v>
      </c>
      <c r="D163" s="107" t="s">
        <v>1779</v>
      </c>
      <c r="E163" s="108"/>
      <c r="F163" s="15" t="s">
        <v>2391</v>
      </c>
      <c r="G163" s="22">
        <v>1</v>
      </c>
      <c r="H163" s="21">
        <v>0</v>
      </c>
      <c r="I163" s="22">
        <f t="shared" si="148"/>
        <v>0</v>
      </c>
      <c r="J163" s="22">
        <f t="shared" si="149"/>
        <v>0</v>
      </c>
      <c r="K163" s="22">
        <f t="shared" si="150"/>
        <v>0</v>
      </c>
      <c r="L163" s="22">
        <v>7.0000000000000001E-3</v>
      </c>
      <c r="M163" s="22">
        <f t="shared" si="151"/>
        <v>7.0000000000000001E-3</v>
      </c>
      <c r="N163" s="37" t="s">
        <v>2417</v>
      </c>
      <c r="O163" s="39"/>
      <c r="U163" s="41">
        <f t="shared" si="152"/>
        <v>0</v>
      </c>
      <c r="W163" s="41">
        <f t="shared" si="153"/>
        <v>0</v>
      </c>
      <c r="X163" s="41">
        <f t="shared" si="154"/>
        <v>0</v>
      </c>
      <c r="Y163" s="41">
        <f t="shared" si="155"/>
        <v>0</v>
      </c>
      <c r="Z163" s="41">
        <f t="shared" si="156"/>
        <v>0</v>
      </c>
      <c r="AA163" s="41">
        <f t="shared" si="157"/>
        <v>0</v>
      </c>
      <c r="AB163" s="41">
        <f t="shared" si="158"/>
        <v>0</v>
      </c>
      <c r="AC163" s="41">
        <f t="shared" si="159"/>
        <v>0</v>
      </c>
      <c r="AD163" s="31"/>
      <c r="AE163" s="22">
        <f t="shared" si="160"/>
        <v>0</v>
      </c>
      <c r="AF163" s="22">
        <f t="shared" si="161"/>
        <v>0</v>
      </c>
      <c r="AG163" s="22">
        <f t="shared" si="162"/>
        <v>0</v>
      </c>
      <c r="AI163" s="41">
        <v>21</v>
      </c>
      <c r="AJ163" s="41">
        <f>H163*1</f>
        <v>0</v>
      </c>
      <c r="AK163" s="41">
        <f>H163*(1-1)</f>
        <v>0</v>
      </c>
      <c r="AL163" s="43" t="s">
        <v>13</v>
      </c>
      <c r="AQ163" s="41">
        <f t="shared" si="165"/>
        <v>0</v>
      </c>
      <c r="AR163" s="41">
        <f t="shared" si="166"/>
        <v>0</v>
      </c>
      <c r="AS163" s="41">
        <f t="shared" si="167"/>
        <v>0</v>
      </c>
      <c r="AT163" s="44" t="s">
        <v>2436</v>
      </c>
      <c r="AU163" s="44" t="s">
        <v>2480</v>
      </c>
      <c r="AV163" s="31" t="s">
        <v>2486</v>
      </c>
      <c r="AX163" s="41">
        <f t="shared" si="168"/>
        <v>0</v>
      </c>
      <c r="AY163" s="41">
        <f t="shared" si="169"/>
        <v>0</v>
      </c>
      <c r="AZ163" s="41">
        <v>0</v>
      </c>
      <c r="BA163" s="41">
        <f t="shared" si="170"/>
        <v>7.0000000000000001E-3</v>
      </c>
      <c r="BC163" s="22">
        <f t="shared" si="171"/>
        <v>0</v>
      </c>
      <c r="BD163" s="22">
        <f t="shared" si="172"/>
        <v>0</v>
      </c>
      <c r="BE163" s="22">
        <f t="shared" si="173"/>
        <v>0</v>
      </c>
      <c r="BF163" s="22" t="s">
        <v>1341</v>
      </c>
      <c r="BG163" s="41">
        <v>725</v>
      </c>
    </row>
    <row r="164" spans="1:59" x14ac:dyDescent="0.3">
      <c r="A164" s="6" t="s">
        <v>150</v>
      </c>
      <c r="B164" s="15"/>
      <c r="C164" s="15" t="s">
        <v>1119</v>
      </c>
      <c r="D164" s="107" t="s">
        <v>1780</v>
      </c>
      <c r="E164" s="108"/>
      <c r="F164" s="15" t="s">
        <v>2391</v>
      </c>
      <c r="G164" s="22">
        <v>16</v>
      </c>
      <c r="H164" s="21">
        <v>0</v>
      </c>
      <c r="I164" s="22">
        <f t="shared" si="148"/>
        <v>0</v>
      </c>
      <c r="J164" s="22">
        <f t="shared" si="149"/>
        <v>0</v>
      </c>
      <c r="K164" s="22">
        <f t="shared" si="150"/>
        <v>0</v>
      </c>
      <c r="L164" s="22">
        <v>1.1999999999999999E-3</v>
      </c>
      <c r="M164" s="22">
        <f t="shared" si="151"/>
        <v>1.9199999999999998E-2</v>
      </c>
      <c r="N164" s="37" t="s">
        <v>2417</v>
      </c>
      <c r="O164" s="39"/>
      <c r="U164" s="41">
        <f t="shared" si="152"/>
        <v>0</v>
      </c>
      <c r="W164" s="41">
        <f t="shared" si="153"/>
        <v>0</v>
      </c>
      <c r="X164" s="41">
        <f t="shared" si="154"/>
        <v>0</v>
      </c>
      <c r="Y164" s="41">
        <f t="shared" si="155"/>
        <v>0</v>
      </c>
      <c r="Z164" s="41">
        <f t="shared" si="156"/>
        <v>0</v>
      </c>
      <c r="AA164" s="41">
        <f t="shared" si="157"/>
        <v>0</v>
      </c>
      <c r="AB164" s="41">
        <f t="shared" si="158"/>
        <v>0</v>
      </c>
      <c r="AC164" s="41">
        <f t="shared" si="159"/>
        <v>0</v>
      </c>
      <c r="AD164" s="31"/>
      <c r="AE164" s="22">
        <f t="shared" si="160"/>
        <v>0</v>
      </c>
      <c r="AF164" s="22">
        <f t="shared" si="161"/>
        <v>0</v>
      </c>
      <c r="AG164" s="22">
        <f t="shared" si="162"/>
        <v>0</v>
      </c>
      <c r="AI164" s="41">
        <v>21</v>
      </c>
      <c r="AJ164" s="41">
        <f>H164*1</f>
        <v>0</v>
      </c>
      <c r="AK164" s="41">
        <f>H164*(1-1)</f>
        <v>0</v>
      </c>
      <c r="AL164" s="43" t="s">
        <v>13</v>
      </c>
      <c r="AQ164" s="41">
        <f t="shared" si="165"/>
        <v>0</v>
      </c>
      <c r="AR164" s="41">
        <f t="shared" si="166"/>
        <v>0</v>
      </c>
      <c r="AS164" s="41">
        <f t="shared" si="167"/>
        <v>0</v>
      </c>
      <c r="AT164" s="44" t="s">
        <v>2436</v>
      </c>
      <c r="AU164" s="44" t="s">
        <v>2480</v>
      </c>
      <c r="AV164" s="31" t="s">
        <v>2486</v>
      </c>
      <c r="AX164" s="41">
        <f t="shared" si="168"/>
        <v>0</v>
      </c>
      <c r="AY164" s="41">
        <f t="shared" si="169"/>
        <v>0</v>
      </c>
      <c r="AZ164" s="41">
        <v>0</v>
      </c>
      <c r="BA164" s="41">
        <f t="shared" si="170"/>
        <v>1.9199999999999998E-2</v>
      </c>
      <c r="BC164" s="22">
        <f t="shared" si="171"/>
        <v>0</v>
      </c>
      <c r="BD164" s="22">
        <f t="shared" si="172"/>
        <v>0</v>
      </c>
      <c r="BE164" s="22">
        <f t="shared" si="173"/>
        <v>0</v>
      </c>
      <c r="BF164" s="22" t="s">
        <v>1341</v>
      </c>
      <c r="BG164" s="41">
        <v>725</v>
      </c>
    </row>
    <row r="165" spans="1:59" x14ac:dyDescent="0.3">
      <c r="A165" s="4" t="s">
        <v>151</v>
      </c>
      <c r="B165" s="13"/>
      <c r="C165" s="13" t="s">
        <v>1120</v>
      </c>
      <c r="D165" s="101" t="s">
        <v>1781</v>
      </c>
      <c r="E165" s="102"/>
      <c r="F165" s="13" t="s">
        <v>2392</v>
      </c>
      <c r="G165" s="21">
        <v>1</v>
      </c>
      <c r="H165" s="21">
        <v>0</v>
      </c>
      <c r="I165" s="21">
        <f t="shared" si="148"/>
        <v>0</v>
      </c>
      <c r="J165" s="21">
        <f t="shared" si="149"/>
        <v>0</v>
      </c>
      <c r="K165" s="21">
        <f t="shared" si="150"/>
        <v>0</v>
      </c>
      <c r="L165" s="21">
        <v>1.1000000000000001E-3</v>
      </c>
      <c r="M165" s="21">
        <f t="shared" si="151"/>
        <v>1.1000000000000001E-3</v>
      </c>
      <c r="N165" s="35" t="s">
        <v>2417</v>
      </c>
      <c r="O165" s="39"/>
      <c r="U165" s="41">
        <f t="shared" si="152"/>
        <v>0</v>
      </c>
      <c r="W165" s="41">
        <f t="shared" si="153"/>
        <v>0</v>
      </c>
      <c r="X165" s="41">
        <f t="shared" si="154"/>
        <v>0</v>
      </c>
      <c r="Y165" s="41">
        <f t="shared" si="155"/>
        <v>0</v>
      </c>
      <c r="Z165" s="41">
        <f t="shared" si="156"/>
        <v>0</v>
      </c>
      <c r="AA165" s="41">
        <f t="shared" si="157"/>
        <v>0</v>
      </c>
      <c r="AB165" s="41">
        <f t="shared" si="158"/>
        <v>0</v>
      </c>
      <c r="AC165" s="41">
        <f t="shared" si="159"/>
        <v>0</v>
      </c>
      <c r="AD165" s="31"/>
      <c r="AE165" s="21">
        <f t="shared" si="160"/>
        <v>0</v>
      </c>
      <c r="AF165" s="21">
        <f t="shared" si="161"/>
        <v>0</v>
      </c>
      <c r="AG165" s="21">
        <f t="shared" si="162"/>
        <v>0</v>
      </c>
      <c r="AI165" s="41">
        <v>21</v>
      </c>
      <c r="AJ165" s="41">
        <f>H165*0.875113947128532</f>
        <v>0</v>
      </c>
      <c r="AK165" s="41">
        <f>H165*(1-0.875113947128532)</f>
        <v>0</v>
      </c>
      <c r="AL165" s="42" t="s">
        <v>13</v>
      </c>
      <c r="AQ165" s="41">
        <f t="shared" si="165"/>
        <v>0</v>
      </c>
      <c r="AR165" s="41">
        <f t="shared" si="166"/>
        <v>0</v>
      </c>
      <c r="AS165" s="41">
        <f t="shared" si="167"/>
        <v>0</v>
      </c>
      <c r="AT165" s="44" t="s">
        <v>2436</v>
      </c>
      <c r="AU165" s="44" t="s">
        <v>2480</v>
      </c>
      <c r="AV165" s="31" t="s">
        <v>2486</v>
      </c>
      <c r="AX165" s="41">
        <f t="shared" si="168"/>
        <v>0</v>
      </c>
      <c r="AY165" s="41">
        <f t="shared" si="169"/>
        <v>0</v>
      </c>
      <c r="AZ165" s="41">
        <v>0</v>
      </c>
      <c r="BA165" s="41">
        <f t="shared" si="170"/>
        <v>1.1000000000000001E-3</v>
      </c>
      <c r="BC165" s="21">
        <f t="shared" si="171"/>
        <v>0</v>
      </c>
      <c r="BD165" s="21">
        <f t="shared" si="172"/>
        <v>0</v>
      </c>
      <c r="BE165" s="21">
        <f t="shared" si="173"/>
        <v>0</v>
      </c>
      <c r="BF165" s="21" t="s">
        <v>2492</v>
      </c>
      <c r="BG165" s="41">
        <v>725</v>
      </c>
    </row>
    <row r="166" spans="1:59" x14ac:dyDescent="0.3">
      <c r="A166" s="4" t="s">
        <v>152</v>
      </c>
      <c r="B166" s="13"/>
      <c r="C166" s="13" t="s">
        <v>1120</v>
      </c>
      <c r="D166" s="101" t="s">
        <v>1782</v>
      </c>
      <c r="E166" s="102"/>
      <c r="F166" s="13" t="s">
        <v>2392</v>
      </c>
      <c r="G166" s="21">
        <v>1</v>
      </c>
      <c r="H166" s="21">
        <v>0</v>
      </c>
      <c r="I166" s="21">
        <f t="shared" si="148"/>
        <v>0</v>
      </c>
      <c r="J166" s="21">
        <f t="shared" si="149"/>
        <v>0</v>
      </c>
      <c r="K166" s="21">
        <f t="shared" si="150"/>
        <v>0</v>
      </c>
      <c r="L166" s="21">
        <v>2.3E-3</v>
      </c>
      <c r="M166" s="21">
        <f t="shared" si="151"/>
        <v>2.3E-3</v>
      </c>
      <c r="N166" s="35" t="s">
        <v>2417</v>
      </c>
      <c r="O166" s="39"/>
      <c r="U166" s="41">
        <f t="shared" si="152"/>
        <v>0</v>
      </c>
      <c r="W166" s="41">
        <f t="shared" si="153"/>
        <v>0</v>
      </c>
      <c r="X166" s="41">
        <f t="shared" si="154"/>
        <v>0</v>
      </c>
      <c r="Y166" s="41">
        <f t="shared" si="155"/>
        <v>0</v>
      </c>
      <c r="Z166" s="41">
        <f t="shared" si="156"/>
        <v>0</v>
      </c>
      <c r="AA166" s="41">
        <f t="shared" si="157"/>
        <v>0</v>
      </c>
      <c r="AB166" s="41">
        <f t="shared" si="158"/>
        <v>0</v>
      </c>
      <c r="AC166" s="41">
        <f t="shared" si="159"/>
        <v>0</v>
      </c>
      <c r="AD166" s="31"/>
      <c r="AE166" s="21">
        <f t="shared" si="160"/>
        <v>0</v>
      </c>
      <c r="AF166" s="21">
        <f t="shared" si="161"/>
        <v>0</v>
      </c>
      <c r="AG166" s="21">
        <f t="shared" si="162"/>
        <v>0</v>
      </c>
      <c r="AI166" s="41">
        <v>21</v>
      </c>
      <c r="AJ166" s="41">
        <f>H166*0.958892687400984</f>
        <v>0</v>
      </c>
      <c r="AK166" s="41">
        <f>H166*(1-0.958892687400984)</f>
        <v>0</v>
      </c>
      <c r="AL166" s="42" t="s">
        <v>13</v>
      </c>
      <c r="AQ166" s="41">
        <f t="shared" si="165"/>
        <v>0</v>
      </c>
      <c r="AR166" s="41">
        <f t="shared" si="166"/>
        <v>0</v>
      </c>
      <c r="AS166" s="41">
        <f t="shared" si="167"/>
        <v>0</v>
      </c>
      <c r="AT166" s="44" t="s">
        <v>2436</v>
      </c>
      <c r="AU166" s="44" t="s">
        <v>2480</v>
      </c>
      <c r="AV166" s="31" t="s">
        <v>2486</v>
      </c>
      <c r="AX166" s="41">
        <f t="shared" si="168"/>
        <v>0</v>
      </c>
      <c r="AY166" s="41">
        <f t="shared" si="169"/>
        <v>0</v>
      </c>
      <c r="AZ166" s="41">
        <v>0</v>
      </c>
      <c r="BA166" s="41">
        <f t="shared" si="170"/>
        <v>2.3E-3</v>
      </c>
      <c r="BC166" s="21">
        <f t="shared" si="171"/>
        <v>0</v>
      </c>
      <c r="BD166" s="21">
        <f t="shared" si="172"/>
        <v>0</v>
      </c>
      <c r="BE166" s="21">
        <f t="shared" si="173"/>
        <v>0</v>
      </c>
      <c r="BF166" s="21" t="s">
        <v>2492</v>
      </c>
      <c r="BG166" s="41">
        <v>725</v>
      </c>
    </row>
    <row r="167" spans="1:59" x14ac:dyDescent="0.3">
      <c r="A167" s="4" t="s">
        <v>153</v>
      </c>
      <c r="B167" s="13"/>
      <c r="C167" s="13" t="s">
        <v>1120</v>
      </c>
      <c r="D167" s="101" t="s">
        <v>1783</v>
      </c>
      <c r="E167" s="102"/>
      <c r="F167" s="13" t="s">
        <v>2392</v>
      </c>
      <c r="G167" s="21">
        <v>1</v>
      </c>
      <c r="H167" s="21">
        <v>0</v>
      </c>
      <c r="I167" s="21">
        <f t="shared" si="148"/>
        <v>0</v>
      </c>
      <c r="J167" s="21">
        <f t="shared" si="149"/>
        <v>0</v>
      </c>
      <c r="K167" s="21">
        <f t="shared" si="150"/>
        <v>0</v>
      </c>
      <c r="L167" s="21">
        <v>2.3E-3</v>
      </c>
      <c r="M167" s="21">
        <f t="shared" si="151"/>
        <v>2.3E-3</v>
      </c>
      <c r="N167" s="35" t="s">
        <v>2417</v>
      </c>
      <c r="O167" s="39"/>
      <c r="U167" s="41">
        <f t="shared" si="152"/>
        <v>0</v>
      </c>
      <c r="W167" s="41">
        <f t="shared" si="153"/>
        <v>0</v>
      </c>
      <c r="X167" s="41">
        <f t="shared" si="154"/>
        <v>0</v>
      </c>
      <c r="Y167" s="41">
        <f t="shared" si="155"/>
        <v>0</v>
      </c>
      <c r="Z167" s="41">
        <f t="shared" si="156"/>
        <v>0</v>
      </c>
      <c r="AA167" s="41">
        <f t="shared" si="157"/>
        <v>0</v>
      </c>
      <c r="AB167" s="41">
        <f t="shared" si="158"/>
        <v>0</v>
      </c>
      <c r="AC167" s="41">
        <f t="shared" si="159"/>
        <v>0</v>
      </c>
      <c r="AD167" s="31"/>
      <c r="AE167" s="21">
        <f t="shared" si="160"/>
        <v>0</v>
      </c>
      <c r="AF167" s="21">
        <f t="shared" si="161"/>
        <v>0</v>
      </c>
      <c r="AG167" s="21">
        <f t="shared" si="162"/>
        <v>0</v>
      </c>
      <c r="AI167" s="41">
        <v>21</v>
      </c>
      <c r="AJ167" s="41">
        <f>H167*0.941085086042065</f>
        <v>0</v>
      </c>
      <c r="AK167" s="41">
        <f>H167*(1-0.941085086042065)</f>
        <v>0</v>
      </c>
      <c r="AL167" s="42" t="s">
        <v>13</v>
      </c>
      <c r="AQ167" s="41">
        <f t="shared" si="165"/>
        <v>0</v>
      </c>
      <c r="AR167" s="41">
        <f t="shared" si="166"/>
        <v>0</v>
      </c>
      <c r="AS167" s="41">
        <f t="shared" si="167"/>
        <v>0</v>
      </c>
      <c r="AT167" s="44" t="s">
        <v>2436</v>
      </c>
      <c r="AU167" s="44" t="s">
        <v>2480</v>
      </c>
      <c r="AV167" s="31" t="s">
        <v>2486</v>
      </c>
      <c r="AX167" s="41">
        <f t="shared" si="168"/>
        <v>0</v>
      </c>
      <c r="AY167" s="41">
        <f t="shared" si="169"/>
        <v>0</v>
      </c>
      <c r="AZ167" s="41">
        <v>0</v>
      </c>
      <c r="BA167" s="41">
        <f t="shared" si="170"/>
        <v>2.3E-3</v>
      </c>
      <c r="BC167" s="21">
        <f t="shared" si="171"/>
        <v>0</v>
      </c>
      <c r="BD167" s="21">
        <f t="shared" si="172"/>
        <v>0</v>
      </c>
      <c r="BE167" s="21">
        <f t="shared" si="173"/>
        <v>0</v>
      </c>
      <c r="BF167" s="21" t="s">
        <v>2492</v>
      </c>
      <c r="BG167" s="41">
        <v>725</v>
      </c>
    </row>
    <row r="168" spans="1:59" x14ac:dyDescent="0.3">
      <c r="A168" s="4" t="s">
        <v>154</v>
      </c>
      <c r="B168" s="13"/>
      <c r="C168" s="13" t="s">
        <v>1121</v>
      </c>
      <c r="D168" s="101" t="s">
        <v>1784</v>
      </c>
      <c r="E168" s="102"/>
      <c r="F168" s="13" t="s">
        <v>2392</v>
      </c>
      <c r="G168" s="21">
        <v>1</v>
      </c>
      <c r="H168" s="21">
        <v>0</v>
      </c>
      <c r="I168" s="21">
        <f t="shared" si="148"/>
        <v>0</v>
      </c>
      <c r="J168" s="21">
        <f t="shared" si="149"/>
        <v>0</v>
      </c>
      <c r="K168" s="21">
        <f t="shared" si="150"/>
        <v>0</v>
      </c>
      <c r="L168" s="21">
        <v>2.0600000000000002E-3</v>
      </c>
      <c r="M168" s="21">
        <f t="shared" si="151"/>
        <v>2.0600000000000002E-3</v>
      </c>
      <c r="N168" s="35" t="s">
        <v>2417</v>
      </c>
      <c r="O168" s="39"/>
      <c r="U168" s="41">
        <f t="shared" si="152"/>
        <v>0</v>
      </c>
      <c r="W168" s="41">
        <f t="shared" si="153"/>
        <v>0</v>
      </c>
      <c r="X168" s="41">
        <f t="shared" si="154"/>
        <v>0</v>
      </c>
      <c r="Y168" s="41">
        <f t="shared" si="155"/>
        <v>0</v>
      </c>
      <c r="Z168" s="41">
        <f t="shared" si="156"/>
        <v>0</v>
      </c>
      <c r="AA168" s="41">
        <f t="shared" si="157"/>
        <v>0</v>
      </c>
      <c r="AB168" s="41">
        <f t="shared" si="158"/>
        <v>0</v>
      </c>
      <c r="AC168" s="41">
        <f t="shared" si="159"/>
        <v>0</v>
      </c>
      <c r="AD168" s="31"/>
      <c r="AE168" s="21">
        <f t="shared" si="160"/>
        <v>0</v>
      </c>
      <c r="AF168" s="21">
        <f t="shared" si="161"/>
        <v>0</v>
      </c>
      <c r="AG168" s="21">
        <f t="shared" si="162"/>
        <v>0</v>
      </c>
      <c r="AI168" s="41">
        <v>21</v>
      </c>
      <c r="AJ168" s="41">
        <f>H168*0.937812604201401</f>
        <v>0</v>
      </c>
      <c r="AK168" s="41">
        <f>H168*(1-0.937812604201401)</f>
        <v>0</v>
      </c>
      <c r="AL168" s="42" t="s">
        <v>13</v>
      </c>
      <c r="AQ168" s="41">
        <f t="shared" si="165"/>
        <v>0</v>
      </c>
      <c r="AR168" s="41">
        <f t="shared" si="166"/>
        <v>0</v>
      </c>
      <c r="AS168" s="41">
        <f t="shared" si="167"/>
        <v>0</v>
      </c>
      <c r="AT168" s="44" t="s">
        <v>2436</v>
      </c>
      <c r="AU168" s="44" t="s">
        <v>2480</v>
      </c>
      <c r="AV168" s="31" t="s">
        <v>2486</v>
      </c>
      <c r="AX168" s="41">
        <f t="shared" si="168"/>
        <v>0</v>
      </c>
      <c r="AY168" s="41">
        <f t="shared" si="169"/>
        <v>0</v>
      </c>
      <c r="AZ168" s="41">
        <v>0</v>
      </c>
      <c r="BA168" s="41">
        <f t="shared" si="170"/>
        <v>2.0600000000000002E-3</v>
      </c>
      <c r="BC168" s="21">
        <f t="shared" si="171"/>
        <v>0</v>
      </c>
      <c r="BD168" s="21">
        <f t="shared" si="172"/>
        <v>0</v>
      </c>
      <c r="BE168" s="21">
        <f t="shared" si="173"/>
        <v>0</v>
      </c>
      <c r="BF168" s="21" t="s">
        <v>2492</v>
      </c>
      <c r="BG168" s="41">
        <v>725</v>
      </c>
    </row>
    <row r="169" spans="1:59" x14ac:dyDescent="0.3">
      <c r="A169" s="4" t="s">
        <v>155</v>
      </c>
      <c r="B169" s="13"/>
      <c r="C169" s="13" t="s">
        <v>1122</v>
      </c>
      <c r="D169" s="101" t="s">
        <v>1785</v>
      </c>
      <c r="E169" s="102"/>
      <c r="F169" s="13" t="s">
        <v>2392</v>
      </c>
      <c r="G169" s="21">
        <v>14</v>
      </c>
      <c r="H169" s="21">
        <v>0</v>
      </c>
      <c r="I169" s="21">
        <f t="shared" si="148"/>
        <v>0</v>
      </c>
      <c r="J169" s="21">
        <f t="shared" si="149"/>
        <v>0</v>
      </c>
      <c r="K169" s="21">
        <f t="shared" si="150"/>
        <v>0</v>
      </c>
      <c r="L169" s="21">
        <v>2.0600000000000002E-3</v>
      </c>
      <c r="M169" s="21">
        <f t="shared" si="151"/>
        <v>2.8840000000000005E-2</v>
      </c>
      <c r="N169" s="35" t="s">
        <v>2417</v>
      </c>
      <c r="O169" s="39"/>
      <c r="U169" s="41">
        <f t="shared" si="152"/>
        <v>0</v>
      </c>
      <c r="W169" s="41">
        <f t="shared" si="153"/>
        <v>0</v>
      </c>
      <c r="X169" s="41">
        <f t="shared" si="154"/>
        <v>0</v>
      </c>
      <c r="Y169" s="41">
        <f t="shared" si="155"/>
        <v>0</v>
      </c>
      <c r="Z169" s="41">
        <f t="shared" si="156"/>
        <v>0</v>
      </c>
      <c r="AA169" s="41">
        <f t="shared" si="157"/>
        <v>0</v>
      </c>
      <c r="AB169" s="41">
        <f t="shared" si="158"/>
        <v>0</v>
      </c>
      <c r="AC169" s="41">
        <f t="shared" si="159"/>
        <v>0</v>
      </c>
      <c r="AD169" s="31"/>
      <c r="AE169" s="21">
        <f t="shared" si="160"/>
        <v>0</v>
      </c>
      <c r="AF169" s="21">
        <f t="shared" si="161"/>
        <v>0</v>
      </c>
      <c r="AG169" s="21">
        <f t="shared" si="162"/>
        <v>0</v>
      </c>
      <c r="AI169" s="41">
        <v>21</v>
      </c>
      <c r="AJ169" s="41">
        <f>H169*0.942320330923571</f>
        <v>0</v>
      </c>
      <c r="AK169" s="41">
        <f>H169*(1-0.942320330923571)</f>
        <v>0</v>
      </c>
      <c r="AL169" s="42" t="s">
        <v>13</v>
      </c>
      <c r="AQ169" s="41">
        <f t="shared" si="165"/>
        <v>0</v>
      </c>
      <c r="AR169" s="41">
        <f t="shared" si="166"/>
        <v>0</v>
      </c>
      <c r="AS169" s="41">
        <f t="shared" si="167"/>
        <v>0</v>
      </c>
      <c r="AT169" s="44" t="s">
        <v>2436</v>
      </c>
      <c r="AU169" s="44" t="s">
        <v>2480</v>
      </c>
      <c r="AV169" s="31" t="s">
        <v>2486</v>
      </c>
      <c r="AX169" s="41">
        <f t="shared" si="168"/>
        <v>0</v>
      </c>
      <c r="AY169" s="41">
        <f t="shared" si="169"/>
        <v>0</v>
      </c>
      <c r="AZ169" s="41">
        <v>0</v>
      </c>
      <c r="BA169" s="41">
        <f t="shared" si="170"/>
        <v>2.8840000000000005E-2</v>
      </c>
      <c r="BC169" s="21">
        <f t="shared" si="171"/>
        <v>0</v>
      </c>
      <c r="BD169" s="21">
        <f t="shared" si="172"/>
        <v>0</v>
      </c>
      <c r="BE169" s="21">
        <f t="shared" si="173"/>
        <v>0</v>
      </c>
      <c r="BF169" s="21" t="s">
        <v>2492</v>
      </c>
      <c r="BG169" s="41">
        <v>725</v>
      </c>
    </row>
    <row r="170" spans="1:59" x14ac:dyDescent="0.3">
      <c r="A170" s="4" t="s">
        <v>156</v>
      </c>
      <c r="B170" s="13"/>
      <c r="C170" s="13" t="s">
        <v>1123</v>
      </c>
      <c r="D170" s="101" t="s">
        <v>1786</v>
      </c>
      <c r="E170" s="102"/>
      <c r="F170" s="13" t="s">
        <v>2392</v>
      </c>
      <c r="G170" s="21">
        <v>4</v>
      </c>
      <c r="H170" s="21">
        <v>0</v>
      </c>
      <c r="I170" s="21">
        <f t="shared" si="148"/>
        <v>0</v>
      </c>
      <c r="J170" s="21">
        <f t="shared" si="149"/>
        <v>0</v>
      </c>
      <c r="K170" s="21">
        <f t="shared" si="150"/>
        <v>0</v>
      </c>
      <c r="L170" s="21">
        <v>2.0600000000000002E-3</v>
      </c>
      <c r="M170" s="21">
        <f t="shared" si="151"/>
        <v>8.2400000000000008E-3</v>
      </c>
      <c r="N170" s="35" t="s">
        <v>2417</v>
      </c>
      <c r="O170" s="39"/>
      <c r="U170" s="41">
        <f t="shared" si="152"/>
        <v>0</v>
      </c>
      <c r="W170" s="41">
        <f t="shared" si="153"/>
        <v>0</v>
      </c>
      <c r="X170" s="41">
        <f t="shared" si="154"/>
        <v>0</v>
      </c>
      <c r="Y170" s="41">
        <f t="shared" si="155"/>
        <v>0</v>
      </c>
      <c r="Z170" s="41">
        <f t="shared" si="156"/>
        <v>0</v>
      </c>
      <c r="AA170" s="41">
        <f t="shared" si="157"/>
        <v>0</v>
      </c>
      <c r="AB170" s="41">
        <f t="shared" si="158"/>
        <v>0</v>
      </c>
      <c r="AC170" s="41">
        <f t="shared" si="159"/>
        <v>0</v>
      </c>
      <c r="AD170" s="31"/>
      <c r="AE170" s="21">
        <f t="shared" si="160"/>
        <v>0</v>
      </c>
      <c r="AF170" s="21">
        <f t="shared" si="161"/>
        <v>0</v>
      </c>
      <c r="AG170" s="21">
        <f t="shared" si="162"/>
        <v>0</v>
      </c>
      <c r="AI170" s="41">
        <v>21</v>
      </c>
      <c r="AJ170" s="41">
        <f>H170*0.968080099268324</f>
        <v>0</v>
      </c>
      <c r="AK170" s="41">
        <f>H170*(1-0.968080099268324)</f>
        <v>0</v>
      </c>
      <c r="AL170" s="42" t="s">
        <v>13</v>
      </c>
      <c r="AQ170" s="41">
        <f t="shared" si="165"/>
        <v>0</v>
      </c>
      <c r="AR170" s="41">
        <f t="shared" si="166"/>
        <v>0</v>
      </c>
      <c r="AS170" s="41">
        <f t="shared" si="167"/>
        <v>0</v>
      </c>
      <c r="AT170" s="44" t="s">
        <v>2436</v>
      </c>
      <c r="AU170" s="44" t="s">
        <v>2480</v>
      </c>
      <c r="AV170" s="31" t="s">
        <v>2486</v>
      </c>
      <c r="AX170" s="41">
        <f t="shared" si="168"/>
        <v>0</v>
      </c>
      <c r="AY170" s="41">
        <f t="shared" si="169"/>
        <v>0</v>
      </c>
      <c r="AZ170" s="41">
        <v>0</v>
      </c>
      <c r="BA170" s="41">
        <f t="shared" si="170"/>
        <v>8.2400000000000008E-3</v>
      </c>
      <c r="BC170" s="21">
        <f t="shared" si="171"/>
        <v>0</v>
      </c>
      <c r="BD170" s="21">
        <f t="shared" si="172"/>
        <v>0</v>
      </c>
      <c r="BE170" s="21">
        <f t="shared" si="173"/>
        <v>0</v>
      </c>
      <c r="BF170" s="21" t="s">
        <v>2492</v>
      </c>
      <c r="BG170" s="41">
        <v>725</v>
      </c>
    </row>
    <row r="171" spans="1:59" x14ac:dyDescent="0.3">
      <c r="A171" s="4" t="s">
        <v>157</v>
      </c>
      <c r="B171" s="13"/>
      <c r="C171" s="13" t="s">
        <v>1122</v>
      </c>
      <c r="D171" s="101" t="s">
        <v>1787</v>
      </c>
      <c r="E171" s="102"/>
      <c r="F171" s="13" t="s">
        <v>2392</v>
      </c>
      <c r="G171" s="21">
        <v>8</v>
      </c>
      <c r="H171" s="21">
        <v>0</v>
      </c>
      <c r="I171" s="21">
        <f t="shared" si="148"/>
        <v>0</v>
      </c>
      <c r="J171" s="21">
        <f t="shared" si="149"/>
        <v>0</v>
      </c>
      <c r="K171" s="21">
        <f t="shared" si="150"/>
        <v>0</v>
      </c>
      <c r="L171" s="21">
        <v>2.0600000000000002E-3</v>
      </c>
      <c r="M171" s="21">
        <f t="shared" si="151"/>
        <v>1.6480000000000002E-2</v>
      </c>
      <c r="N171" s="35" t="s">
        <v>2417</v>
      </c>
      <c r="O171" s="39"/>
      <c r="U171" s="41">
        <f t="shared" si="152"/>
        <v>0</v>
      </c>
      <c r="W171" s="41">
        <f t="shared" si="153"/>
        <v>0</v>
      </c>
      <c r="X171" s="41">
        <f t="shared" si="154"/>
        <v>0</v>
      </c>
      <c r="Y171" s="41">
        <f t="shared" si="155"/>
        <v>0</v>
      </c>
      <c r="Z171" s="41">
        <f t="shared" si="156"/>
        <v>0</v>
      </c>
      <c r="AA171" s="41">
        <f t="shared" si="157"/>
        <v>0</v>
      </c>
      <c r="AB171" s="41">
        <f t="shared" si="158"/>
        <v>0</v>
      </c>
      <c r="AC171" s="41">
        <f t="shared" si="159"/>
        <v>0</v>
      </c>
      <c r="AD171" s="31"/>
      <c r="AE171" s="21">
        <f t="shared" si="160"/>
        <v>0</v>
      </c>
      <c r="AF171" s="21">
        <f t="shared" si="161"/>
        <v>0</v>
      </c>
      <c r="AG171" s="21">
        <f t="shared" si="162"/>
        <v>0</v>
      </c>
      <c r="AI171" s="41">
        <v>21</v>
      </c>
      <c r="AJ171" s="41">
        <f>H171*0.947403673282335</f>
        <v>0</v>
      </c>
      <c r="AK171" s="41">
        <f>H171*(1-0.947403673282335)</f>
        <v>0</v>
      </c>
      <c r="AL171" s="42" t="s">
        <v>13</v>
      </c>
      <c r="AQ171" s="41">
        <f t="shared" si="165"/>
        <v>0</v>
      </c>
      <c r="AR171" s="41">
        <f t="shared" si="166"/>
        <v>0</v>
      </c>
      <c r="AS171" s="41">
        <f t="shared" si="167"/>
        <v>0</v>
      </c>
      <c r="AT171" s="44" t="s">
        <v>2436</v>
      </c>
      <c r="AU171" s="44" t="s">
        <v>2480</v>
      </c>
      <c r="AV171" s="31" t="s">
        <v>2486</v>
      </c>
      <c r="AX171" s="41">
        <f t="shared" si="168"/>
        <v>0</v>
      </c>
      <c r="AY171" s="41">
        <f t="shared" si="169"/>
        <v>0</v>
      </c>
      <c r="AZ171" s="41">
        <v>0</v>
      </c>
      <c r="BA171" s="41">
        <f t="shared" si="170"/>
        <v>1.6480000000000002E-2</v>
      </c>
      <c r="BC171" s="21">
        <f t="shared" si="171"/>
        <v>0</v>
      </c>
      <c r="BD171" s="21">
        <f t="shared" si="172"/>
        <v>0</v>
      </c>
      <c r="BE171" s="21">
        <f t="shared" si="173"/>
        <v>0</v>
      </c>
      <c r="BF171" s="21" t="s">
        <v>2492</v>
      </c>
      <c r="BG171" s="41">
        <v>725</v>
      </c>
    </row>
    <row r="172" spans="1:59" x14ac:dyDescent="0.3">
      <c r="A172" s="4" t="s">
        <v>158</v>
      </c>
      <c r="B172" s="13"/>
      <c r="C172" s="13" t="s">
        <v>1124</v>
      </c>
      <c r="D172" s="101" t="s">
        <v>1788</v>
      </c>
      <c r="E172" s="102"/>
      <c r="F172" s="13" t="s">
        <v>2392</v>
      </c>
      <c r="G172" s="21">
        <v>2</v>
      </c>
      <c r="H172" s="21">
        <v>0</v>
      </c>
      <c r="I172" s="21">
        <f t="shared" si="148"/>
        <v>0</v>
      </c>
      <c r="J172" s="21">
        <f t="shared" si="149"/>
        <v>0</v>
      </c>
      <c r="K172" s="21">
        <f t="shared" si="150"/>
        <v>0</v>
      </c>
      <c r="L172" s="21">
        <v>2.0600000000000002E-3</v>
      </c>
      <c r="M172" s="21">
        <f t="shared" si="151"/>
        <v>4.1200000000000004E-3</v>
      </c>
      <c r="N172" s="35" t="s">
        <v>2417</v>
      </c>
      <c r="O172" s="39"/>
      <c r="U172" s="41">
        <f t="shared" si="152"/>
        <v>0</v>
      </c>
      <c r="W172" s="41">
        <f t="shared" si="153"/>
        <v>0</v>
      </c>
      <c r="X172" s="41">
        <f t="shared" si="154"/>
        <v>0</v>
      </c>
      <c r="Y172" s="41">
        <f t="shared" si="155"/>
        <v>0</v>
      </c>
      <c r="Z172" s="41">
        <f t="shared" si="156"/>
        <v>0</v>
      </c>
      <c r="AA172" s="41">
        <f t="shared" si="157"/>
        <v>0</v>
      </c>
      <c r="AB172" s="41">
        <f t="shared" si="158"/>
        <v>0</v>
      </c>
      <c r="AC172" s="41">
        <f t="shared" si="159"/>
        <v>0</v>
      </c>
      <c r="AD172" s="31"/>
      <c r="AE172" s="21">
        <f t="shared" si="160"/>
        <v>0</v>
      </c>
      <c r="AF172" s="21">
        <f t="shared" si="161"/>
        <v>0</v>
      </c>
      <c r="AG172" s="21">
        <f t="shared" si="162"/>
        <v>0</v>
      </c>
      <c r="AI172" s="41">
        <v>21</v>
      </c>
      <c r="AJ172" s="41">
        <f>H172*0.962339399752631</f>
        <v>0</v>
      </c>
      <c r="AK172" s="41">
        <f>H172*(1-0.962339399752631)</f>
        <v>0</v>
      </c>
      <c r="AL172" s="42" t="s">
        <v>13</v>
      </c>
      <c r="AQ172" s="41">
        <f t="shared" si="165"/>
        <v>0</v>
      </c>
      <c r="AR172" s="41">
        <f t="shared" si="166"/>
        <v>0</v>
      </c>
      <c r="AS172" s="41">
        <f t="shared" si="167"/>
        <v>0</v>
      </c>
      <c r="AT172" s="44" t="s">
        <v>2436</v>
      </c>
      <c r="AU172" s="44" t="s">
        <v>2480</v>
      </c>
      <c r="AV172" s="31" t="s">
        <v>2486</v>
      </c>
      <c r="AX172" s="41">
        <f t="shared" si="168"/>
        <v>0</v>
      </c>
      <c r="AY172" s="41">
        <f t="shared" si="169"/>
        <v>0</v>
      </c>
      <c r="AZ172" s="41">
        <v>0</v>
      </c>
      <c r="BA172" s="41">
        <f t="shared" si="170"/>
        <v>4.1200000000000004E-3</v>
      </c>
      <c r="BC172" s="21">
        <f t="shared" si="171"/>
        <v>0</v>
      </c>
      <c r="BD172" s="21">
        <f t="shared" si="172"/>
        <v>0</v>
      </c>
      <c r="BE172" s="21">
        <f t="shared" si="173"/>
        <v>0</v>
      </c>
      <c r="BF172" s="21" t="s">
        <v>2492</v>
      </c>
      <c r="BG172" s="41">
        <v>725</v>
      </c>
    </row>
    <row r="173" spans="1:59" x14ac:dyDescent="0.3">
      <c r="A173" s="4" t="s">
        <v>159</v>
      </c>
      <c r="B173" s="13"/>
      <c r="C173" s="13" t="s">
        <v>1123</v>
      </c>
      <c r="D173" s="101" t="s">
        <v>1789</v>
      </c>
      <c r="E173" s="102"/>
      <c r="F173" s="13" t="s">
        <v>2392</v>
      </c>
      <c r="G173" s="21">
        <v>1</v>
      </c>
      <c r="H173" s="21">
        <v>0</v>
      </c>
      <c r="I173" s="21">
        <f t="shared" si="148"/>
        <v>0</v>
      </c>
      <c r="J173" s="21">
        <f t="shared" si="149"/>
        <v>0</v>
      </c>
      <c r="K173" s="21">
        <f t="shared" si="150"/>
        <v>0</v>
      </c>
      <c r="L173" s="21">
        <v>2.0600000000000002E-3</v>
      </c>
      <c r="M173" s="21">
        <f t="shared" si="151"/>
        <v>2.0600000000000002E-3</v>
      </c>
      <c r="N173" s="35" t="s">
        <v>2417</v>
      </c>
      <c r="O173" s="39"/>
      <c r="U173" s="41">
        <f t="shared" si="152"/>
        <v>0</v>
      </c>
      <c r="W173" s="41">
        <f t="shared" si="153"/>
        <v>0</v>
      </c>
      <c r="X173" s="41">
        <f t="shared" si="154"/>
        <v>0</v>
      </c>
      <c r="Y173" s="41">
        <f t="shared" si="155"/>
        <v>0</v>
      </c>
      <c r="Z173" s="41">
        <f t="shared" si="156"/>
        <v>0</v>
      </c>
      <c r="AA173" s="41">
        <f t="shared" si="157"/>
        <v>0</v>
      </c>
      <c r="AB173" s="41">
        <f t="shared" si="158"/>
        <v>0</v>
      </c>
      <c r="AC173" s="41">
        <f t="shared" si="159"/>
        <v>0</v>
      </c>
      <c r="AD173" s="31"/>
      <c r="AE173" s="21">
        <f t="shared" si="160"/>
        <v>0</v>
      </c>
      <c r="AF173" s="21">
        <f t="shared" si="161"/>
        <v>0</v>
      </c>
      <c r="AG173" s="21">
        <f t="shared" si="162"/>
        <v>0</v>
      </c>
      <c r="AI173" s="41">
        <v>21</v>
      </c>
      <c r="AJ173" s="41">
        <f>H173*0.939380704008614</f>
        <v>0</v>
      </c>
      <c r="AK173" s="41">
        <f>H173*(1-0.939380704008614)</f>
        <v>0</v>
      </c>
      <c r="AL173" s="42" t="s">
        <v>13</v>
      </c>
      <c r="AQ173" s="41">
        <f t="shared" si="165"/>
        <v>0</v>
      </c>
      <c r="AR173" s="41">
        <f t="shared" si="166"/>
        <v>0</v>
      </c>
      <c r="AS173" s="41">
        <f t="shared" si="167"/>
        <v>0</v>
      </c>
      <c r="AT173" s="44" t="s">
        <v>2436</v>
      </c>
      <c r="AU173" s="44" t="s">
        <v>2480</v>
      </c>
      <c r="AV173" s="31" t="s">
        <v>2486</v>
      </c>
      <c r="AX173" s="41">
        <f t="shared" si="168"/>
        <v>0</v>
      </c>
      <c r="AY173" s="41">
        <f t="shared" si="169"/>
        <v>0</v>
      </c>
      <c r="AZ173" s="41">
        <v>0</v>
      </c>
      <c r="BA173" s="41">
        <f t="shared" si="170"/>
        <v>2.0600000000000002E-3</v>
      </c>
      <c r="BC173" s="21">
        <f t="shared" si="171"/>
        <v>0</v>
      </c>
      <c r="BD173" s="21">
        <f t="shared" si="172"/>
        <v>0</v>
      </c>
      <c r="BE173" s="21">
        <f t="shared" si="173"/>
        <v>0</v>
      </c>
      <c r="BF173" s="21" t="s">
        <v>2492</v>
      </c>
      <c r="BG173" s="41">
        <v>725</v>
      </c>
    </row>
    <row r="174" spans="1:59" x14ac:dyDescent="0.3">
      <c r="A174" s="4" t="s">
        <v>160</v>
      </c>
      <c r="B174" s="13"/>
      <c r="C174" s="13" t="s">
        <v>1122</v>
      </c>
      <c r="D174" s="101" t="s">
        <v>1790</v>
      </c>
      <c r="E174" s="102"/>
      <c r="F174" s="13" t="s">
        <v>2392</v>
      </c>
      <c r="G174" s="21">
        <v>1</v>
      </c>
      <c r="H174" s="21">
        <v>0</v>
      </c>
      <c r="I174" s="21">
        <f t="shared" si="148"/>
        <v>0</v>
      </c>
      <c r="J174" s="21">
        <f t="shared" si="149"/>
        <v>0</v>
      </c>
      <c r="K174" s="21">
        <f t="shared" si="150"/>
        <v>0</v>
      </c>
      <c r="L174" s="21">
        <v>5.5999999999999995E-4</v>
      </c>
      <c r="M174" s="21">
        <f t="shared" si="151"/>
        <v>5.5999999999999995E-4</v>
      </c>
      <c r="N174" s="35" t="s">
        <v>2417</v>
      </c>
      <c r="O174" s="39"/>
      <c r="U174" s="41">
        <f t="shared" si="152"/>
        <v>0</v>
      </c>
      <c r="W174" s="41">
        <f t="shared" si="153"/>
        <v>0</v>
      </c>
      <c r="X174" s="41">
        <f t="shared" si="154"/>
        <v>0</v>
      </c>
      <c r="Y174" s="41">
        <f t="shared" si="155"/>
        <v>0</v>
      </c>
      <c r="Z174" s="41">
        <f t="shared" si="156"/>
        <v>0</v>
      </c>
      <c r="AA174" s="41">
        <f t="shared" si="157"/>
        <v>0</v>
      </c>
      <c r="AB174" s="41">
        <f t="shared" si="158"/>
        <v>0</v>
      </c>
      <c r="AC174" s="41">
        <f t="shared" si="159"/>
        <v>0</v>
      </c>
      <c r="AD174" s="31"/>
      <c r="AE174" s="21">
        <f t="shared" si="160"/>
        <v>0</v>
      </c>
      <c r="AF174" s="21">
        <f t="shared" si="161"/>
        <v>0</v>
      </c>
      <c r="AG174" s="21">
        <f t="shared" si="162"/>
        <v>0</v>
      </c>
      <c r="AI174" s="41">
        <v>21</v>
      </c>
      <c r="AJ174" s="41">
        <f>H174*0.936149270338512</f>
        <v>0</v>
      </c>
      <c r="AK174" s="41">
        <f>H174*(1-0.936149270338512)</f>
        <v>0</v>
      </c>
      <c r="AL174" s="42" t="s">
        <v>13</v>
      </c>
      <c r="AQ174" s="41">
        <f t="shared" si="165"/>
        <v>0</v>
      </c>
      <c r="AR174" s="41">
        <f t="shared" si="166"/>
        <v>0</v>
      </c>
      <c r="AS174" s="41">
        <f t="shared" si="167"/>
        <v>0</v>
      </c>
      <c r="AT174" s="44" t="s">
        <v>2436</v>
      </c>
      <c r="AU174" s="44" t="s">
        <v>2480</v>
      </c>
      <c r="AV174" s="31" t="s">
        <v>2486</v>
      </c>
      <c r="AX174" s="41">
        <f t="shared" si="168"/>
        <v>0</v>
      </c>
      <c r="AY174" s="41">
        <f t="shared" si="169"/>
        <v>0</v>
      </c>
      <c r="AZ174" s="41">
        <v>0</v>
      </c>
      <c r="BA174" s="41">
        <f t="shared" si="170"/>
        <v>5.5999999999999995E-4</v>
      </c>
      <c r="BC174" s="21">
        <f t="shared" si="171"/>
        <v>0</v>
      </c>
      <c r="BD174" s="21">
        <f t="shared" si="172"/>
        <v>0</v>
      </c>
      <c r="BE174" s="21">
        <f t="shared" si="173"/>
        <v>0</v>
      </c>
      <c r="BF174" s="21" t="s">
        <v>2492</v>
      </c>
      <c r="BG174" s="41">
        <v>725</v>
      </c>
    </row>
    <row r="175" spans="1:59" x14ac:dyDescent="0.3">
      <c r="A175" s="4" t="s">
        <v>161</v>
      </c>
      <c r="B175" s="13"/>
      <c r="C175" s="13" t="s">
        <v>1125</v>
      </c>
      <c r="D175" s="101" t="s">
        <v>1791</v>
      </c>
      <c r="E175" s="102"/>
      <c r="F175" s="13" t="s">
        <v>2392</v>
      </c>
      <c r="G175" s="21">
        <v>19</v>
      </c>
      <c r="H175" s="21">
        <v>0</v>
      </c>
      <c r="I175" s="21">
        <f t="shared" si="148"/>
        <v>0</v>
      </c>
      <c r="J175" s="21">
        <f t="shared" si="149"/>
        <v>0</v>
      </c>
      <c r="K175" s="21">
        <f t="shared" si="150"/>
        <v>0</v>
      </c>
      <c r="L175" s="21">
        <v>1.6000000000000001E-4</v>
      </c>
      <c r="M175" s="21">
        <f t="shared" si="151"/>
        <v>3.0400000000000002E-3</v>
      </c>
      <c r="N175" s="35" t="s">
        <v>2417</v>
      </c>
      <c r="O175" s="39"/>
      <c r="U175" s="41">
        <f t="shared" si="152"/>
        <v>0</v>
      </c>
      <c r="W175" s="41">
        <f t="shared" si="153"/>
        <v>0</v>
      </c>
      <c r="X175" s="41">
        <f t="shared" si="154"/>
        <v>0</v>
      </c>
      <c r="Y175" s="41">
        <f t="shared" si="155"/>
        <v>0</v>
      </c>
      <c r="Z175" s="41">
        <f t="shared" si="156"/>
        <v>0</v>
      </c>
      <c r="AA175" s="41">
        <f t="shared" si="157"/>
        <v>0</v>
      </c>
      <c r="AB175" s="41">
        <f t="shared" si="158"/>
        <v>0</v>
      </c>
      <c r="AC175" s="41">
        <f t="shared" si="159"/>
        <v>0</v>
      </c>
      <c r="AD175" s="31"/>
      <c r="AE175" s="21">
        <f t="shared" si="160"/>
        <v>0</v>
      </c>
      <c r="AF175" s="21">
        <f t="shared" si="161"/>
        <v>0</v>
      </c>
      <c r="AG175" s="21">
        <f t="shared" si="162"/>
        <v>0</v>
      </c>
      <c r="AI175" s="41">
        <v>21</v>
      </c>
      <c r="AJ175" s="41">
        <f>H175*0.924596919771404</f>
        <v>0</v>
      </c>
      <c r="AK175" s="41">
        <f>H175*(1-0.924596919771404)</f>
        <v>0</v>
      </c>
      <c r="AL175" s="42" t="s">
        <v>13</v>
      </c>
      <c r="AQ175" s="41">
        <f t="shared" si="165"/>
        <v>0</v>
      </c>
      <c r="AR175" s="41">
        <f t="shared" si="166"/>
        <v>0</v>
      </c>
      <c r="AS175" s="41">
        <f t="shared" si="167"/>
        <v>0</v>
      </c>
      <c r="AT175" s="44" t="s">
        <v>2436</v>
      </c>
      <c r="AU175" s="44" t="s">
        <v>2480</v>
      </c>
      <c r="AV175" s="31" t="s">
        <v>2486</v>
      </c>
      <c r="AX175" s="41">
        <f t="shared" si="168"/>
        <v>0</v>
      </c>
      <c r="AY175" s="41">
        <f t="shared" si="169"/>
        <v>0</v>
      </c>
      <c r="AZ175" s="41">
        <v>0</v>
      </c>
      <c r="BA175" s="41">
        <f t="shared" si="170"/>
        <v>3.0400000000000002E-3</v>
      </c>
      <c r="BC175" s="21">
        <f t="shared" si="171"/>
        <v>0</v>
      </c>
      <c r="BD175" s="21">
        <f t="shared" si="172"/>
        <v>0</v>
      </c>
      <c r="BE175" s="21">
        <f t="shared" si="173"/>
        <v>0</v>
      </c>
      <c r="BF175" s="21" t="s">
        <v>2492</v>
      </c>
      <c r="BG175" s="41">
        <v>725</v>
      </c>
    </row>
    <row r="176" spans="1:59" x14ac:dyDescent="0.3">
      <c r="A176" s="4" t="s">
        <v>162</v>
      </c>
      <c r="B176" s="13"/>
      <c r="C176" s="13" t="s">
        <v>1126</v>
      </c>
      <c r="D176" s="101" t="s">
        <v>1792</v>
      </c>
      <c r="E176" s="102"/>
      <c r="F176" s="13" t="s">
        <v>2392</v>
      </c>
      <c r="G176" s="21">
        <v>12</v>
      </c>
      <c r="H176" s="21">
        <v>0</v>
      </c>
      <c r="I176" s="21">
        <f t="shared" si="148"/>
        <v>0</v>
      </c>
      <c r="J176" s="21">
        <f t="shared" si="149"/>
        <v>0</v>
      </c>
      <c r="K176" s="21">
        <f t="shared" si="150"/>
        <v>0</v>
      </c>
      <c r="L176" s="21">
        <v>2.0600000000000002E-3</v>
      </c>
      <c r="M176" s="21">
        <f t="shared" si="151"/>
        <v>2.4720000000000002E-2</v>
      </c>
      <c r="N176" s="35" t="s">
        <v>2417</v>
      </c>
      <c r="O176" s="39"/>
      <c r="U176" s="41">
        <f t="shared" si="152"/>
        <v>0</v>
      </c>
      <c r="W176" s="41">
        <f t="shared" si="153"/>
        <v>0</v>
      </c>
      <c r="X176" s="41">
        <f t="shared" si="154"/>
        <v>0</v>
      </c>
      <c r="Y176" s="41">
        <f t="shared" si="155"/>
        <v>0</v>
      </c>
      <c r="Z176" s="41">
        <f t="shared" si="156"/>
        <v>0</v>
      </c>
      <c r="AA176" s="41">
        <f t="shared" si="157"/>
        <v>0</v>
      </c>
      <c r="AB176" s="41">
        <f t="shared" si="158"/>
        <v>0</v>
      </c>
      <c r="AC176" s="41">
        <f t="shared" si="159"/>
        <v>0</v>
      </c>
      <c r="AD176" s="31"/>
      <c r="AE176" s="21">
        <f t="shared" si="160"/>
        <v>0</v>
      </c>
      <c r="AF176" s="21">
        <f t="shared" si="161"/>
        <v>0</v>
      </c>
      <c r="AG176" s="21">
        <f t="shared" si="162"/>
        <v>0</v>
      </c>
      <c r="AI176" s="41">
        <v>21</v>
      </c>
      <c r="AJ176" s="41">
        <f>H176*0.648279113625648</f>
        <v>0</v>
      </c>
      <c r="AK176" s="41">
        <f>H176*(1-0.648279113625648)</f>
        <v>0</v>
      </c>
      <c r="AL176" s="42" t="s">
        <v>13</v>
      </c>
      <c r="AQ176" s="41">
        <f t="shared" si="165"/>
        <v>0</v>
      </c>
      <c r="AR176" s="41">
        <f t="shared" si="166"/>
        <v>0</v>
      </c>
      <c r="AS176" s="41">
        <f t="shared" si="167"/>
        <v>0</v>
      </c>
      <c r="AT176" s="44" t="s">
        <v>2436</v>
      </c>
      <c r="AU176" s="44" t="s">
        <v>2480</v>
      </c>
      <c r="AV176" s="31" t="s">
        <v>2486</v>
      </c>
      <c r="AX176" s="41">
        <f t="shared" si="168"/>
        <v>0</v>
      </c>
      <c r="AY176" s="41">
        <f t="shared" si="169"/>
        <v>0</v>
      </c>
      <c r="AZ176" s="41">
        <v>0</v>
      </c>
      <c r="BA176" s="41">
        <f t="shared" si="170"/>
        <v>2.4720000000000002E-2</v>
      </c>
      <c r="BC176" s="21">
        <f t="shared" si="171"/>
        <v>0</v>
      </c>
      <c r="BD176" s="21">
        <f t="shared" si="172"/>
        <v>0</v>
      </c>
      <c r="BE176" s="21">
        <f t="shared" si="173"/>
        <v>0</v>
      </c>
      <c r="BF176" s="21" t="s">
        <v>2492</v>
      </c>
      <c r="BG176" s="41">
        <v>725</v>
      </c>
    </row>
    <row r="177" spans="1:59" x14ac:dyDescent="0.3">
      <c r="A177" s="4" t="s">
        <v>163</v>
      </c>
      <c r="B177" s="13"/>
      <c r="C177" s="13" t="s">
        <v>1127</v>
      </c>
      <c r="D177" s="101" t="s">
        <v>1793</v>
      </c>
      <c r="E177" s="102"/>
      <c r="F177" s="13" t="s">
        <v>2392</v>
      </c>
      <c r="G177" s="21">
        <v>1</v>
      </c>
      <c r="H177" s="21">
        <v>0</v>
      </c>
      <c r="I177" s="21">
        <f t="shared" si="148"/>
        <v>0</v>
      </c>
      <c r="J177" s="21">
        <f t="shared" si="149"/>
        <v>0</v>
      </c>
      <c r="K177" s="21">
        <f t="shared" si="150"/>
        <v>0</v>
      </c>
      <c r="L177" s="21">
        <v>2.0600000000000002E-3</v>
      </c>
      <c r="M177" s="21">
        <f t="shared" si="151"/>
        <v>2.0600000000000002E-3</v>
      </c>
      <c r="N177" s="35" t="s">
        <v>2417</v>
      </c>
      <c r="O177" s="39"/>
      <c r="U177" s="41">
        <f t="shared" si="152"/>
        <v>0</v>
      </c>
      <c r="W177" s="41">
        <f t="shared" si="153"/>
        <v>0</v>
      </c>
      <c r="X177" s="41">
        <f t="shared" si="154"/>
        <v>0</v>
      </c>
      <c r="Y177" s="41">
        <f t="shared" si="155"/>
        <v>0</v>
      </c>
      <c r="Z177" s="41">
        <f t="shared" si="156"/>
        <v>0</v>
      </c>
      <c r="AA177" s="41">
        <f t="shared" si="157"/>
        <v>0</v>
      </c>
      <c r="AB177" s="41">
        <f t="shared" si="158"/>
        <v>0</v>
      </c>
      <c r="AC177" s="41">
        <f t="shared" si="159"/>
        <v>0</v>
      </c>
      <c r="AD177" s="31"/>
      <c r="AE177" s="21">
        <f t="shared" si="160"/>
        <v>0</v>
      </c>
      <c r="AF177" s="21">
        <f t="shared" si="161"/>
        <v>0</v>
      </c>
      <c r="AG177" s="21">
        <f t="shared" si="162"/>
        <v>0</v>
      </c>
      <c r="AI177" s="41">
        <v>21</v>
      </c>
      <c r="AJ177" s="41">
        <f>H177*0.848788892267153</f>
        <v>0</v>
      </c>
      <c r="AK177" s="41">
        <f>H177*(1-0.848788892267153)</f>
        <v>0</v>
      </c>
      <c r="AL177" s="42" t="s">
        <v>13</v>
      </c>
      <c r="AQ177" s="41">
        <f t="shared" si="165"/>
        <v>0</v>
      </c>
      <c r="AR177" s="41">
        <f t="shared" si="166"/>
        <v>0</v>
      </c>
      <c r="AS177" s="41">
        <f t="shared" si="167"/>
        <v>0</v>
      </c>
      <c r="AT177" s="44" t="s">
        <v>2436</v>
      </c>
      <c r="AU177" s="44" t="s">
        <v>2480</v>
      </c>
      <c r="AV177" s="31" t="s">
        <v>2486</v>
      </c>
      <c r="AX177" s="41">
        <f t="shared" si="168"/>
        <v>0</v>
      </c>
      <c r="AY177" s="41">
        <f t="shared" si="169"/>
        <v>0</v>
      </c>
      <c r="AZ177" s="41">
        <v>0</v>
      </c>
      <c r="BA177" s="41">
        <f t="shared" si="170"/>
        <v>2.0600000000000002E-3</v>
      </c>
      <c r="BC177" s="21">
        <f t="shared" si="171"/>
        <v>0</v>
      </c>
      <c r="BD177" s="21">
        <f t="shared" si="172"/>
        <v>0</v>
      </c>
      <c r="BE177" s="21">
        <f t="shared" si="173"/>
        <v>0</v>
      </c>
      <c r="BF177" s="21" t="s">
        <v>2492</v>
      </c>
      <c r="BG177" s="41">
        <v>725</v>
      </c>
    </row>
    <row r="178" spans="1:59" x14ac:dyDescent="0.3">
      <c r="A178" s="6" t="s">
        <v>164</v>
      </c>
      <c r="B178" s="15"/>
      <c r="C178" s="15" t="s">
        <v>1128</v>
      </c>
      <c r="D178" s="107" t="s">
        <v>1794</v>
      </c>
      <c r="E178" s="108"/>
      <c r="F178" s="15" t="s">
        <v>2391</v>
      </c>
      <c r="G178" s="22">
        <v>12</v>
      </c>
      <c r="H178" s="21">
        <v>0</v>
      </c>
      <c r="I178" s="22">
        <f t="shared" si="148"/>
        <v>0</v>
      </c>
      <c r="J178" s="22">
        <f t="shared" si="149"/>
        <v>0</v>
      </c>
      <c r="K178" s="22">
        <f t="shared" si="150"/>
        <v>0</v>
      </c>
      <c r="L178" s="22">
        <v>1E-3</v>
      </c>
      <c r="M178" s="22">
        <f t="shared" si="151"/>
        <v>1.2E-2</v>
      </c>
      <c r="N178" s="37" t="s">
        <v>2417</v>
      </c>
      <c r="O178" s="39"/>
      <c r="U178" s="41">
        <f t="shared" si="152"/>
        <v>0</v>
      </c>
      <c r="W178" s="41">
        <f t="shared" si="153"/>
        <v>0</v>
      </c>
      <c r="X178" s="41">
        <f t="shared" si="154"/>
        <v>0</v>
      </c>
      <c r="Y178" s="41">
        <f t="shared" si="155"/>
        <v>0</v>
      </c>
      <c r="Z178" s="41">
        <f t="shared" si="156"/>
        <v>0</v>
      </c>
      <c r="AA178" s="41">
        <f t="shared" si="157"/>
        <v>0</v>
      </c>
      <c r="AB178" s="41">
        <f t="shared" si="158"/>
        <v>0</v>
      </c>
      <c r="AC178" s="41">
        <f t="shared" si="159"/>
        <v>0</v>
      </c>
      <c r="AD178" s="31"/>
      <c r="AE178" s="22">
        <f t="shared" si="160"/>
        <v>0</v>
      </c>
      <c r="AF178" s="22">
        <f t="shared" si="161"/>
        <v>0</v>
      </c>
      <c r="AG178" s="22">
        <f t="shared" si="162"/>
        <v>0</v>
      </c>
      <c r="AI178" s="41">
        <v>21</v>
      </c>
      <c r="AJ178" s="41">
        <f t="shared" ref="AJ178:AJ185" si="174">H178*1</f>
        <v>0</v>
      </c>
      <c r="AK178" s="41">
        <f t="shared" ref="AK178:AK185" si="175">H178*(1-1)</f>
        <v>0</v>
      </c>
      <c r="AL178" s="43" t="s">
        <v>13</v>
      </c>
      <c r="AQ178" s="41">
        <f t="shared" si="165"/>
        <v>0</v>
      </c>
      <c r="AR178" s="41">
        <f t="shared" si="166"/>
        <v>0</v>
      </c>
      <c r="AS178" s="41">
        <f t="shared" si="167"/>
        <v>0</v>
      </c>
      <c r="AT178" s="44" t="s">
        <v>2436</v>
      </c>
      <c r="AU178" s="44" t="s">
        <v>2480</v>
      </c>
      <c r="AV178" s="31" t="s">
        <v>2486</v>
      </c>
      <c r="AX178" s="41">
        <f t="shared" si="168"/>
        <v>0</v>
      </c>
      <c r="AY178" s="41">
        <f t="shared" si="169"/>
        <v>0</v>
      </c>
      <c r="AZ178" s="41">
        <v>0</v>
      </c>
      <c r="BA178" s="41">
        <f t="shared" si="170"/>
        <v>1.2E-2</v>
      </c>
      <c r="BC178" s="22">
        <f t="shared" si="171"/>
        <v>0</v>
      </c>
      <c r="BD178" s="22">
        <f t="shared" si="172"/>
        <v>0</v>
      </c>
      <c r="BE178" s="22">
        <f t="shared" si="173"/>
        <v>0</v>
      </c>
      <c r="BF178" s="22" t="s">
        <v>1341</v>
      </c>
      <c r="BG178" s="41">
        <v>725</v>
      </c>
    </row>
    <row r="179" spans="1:59" x14ac:dyDescent="0.3">
      <c r="A179" s="6" t="s">
        <v>165</v>
      </c>
      <c r="B179" s="15"/>
      <c r="C179" s="15" t="s">
        <v>1119</v>
      </c>
      <c r="D179" s="107" t="s">
        <v>1795</v>
      </c>
      <c r="E179" s="108"/>
      <c r="F179" s="15" t="s">
        <v>2391</v>
      </c>
      <c r="G179" s="22">
        <v>10</v>
      </c>
      <c r="H179" s="21">
        <v>0</v>
      </c>
      <c r="I179" s="22">
        <f t="shared" si="148"/>
        <v>0</v>
      </c>
      <c r="J179" s="22">
        <f t="shared" si="149"/>
        <v>0</v>
      </c>
      <c r="K179" s="22">
        <f t="shared" si="150"/>
        <v>0</v>
      </c>
      <c r="L179" s="22">
        <v>3.8999999999999998E-3</v>
      </c>
      <c r="M179" s="22">
        <f t="shared" si="151"/>
        <v>3.9E-2</v>
      </c>
      <c r="N179" s="37" t="s">
        <v>2417</v>
      </c>
      <c r="O179" s="39"/>
      <c r="U179" s="41">
        <f t="shared" si="152"/>
        <v>0</v>
      </c>
      <c r="W179" s="41">
        <f t="shared" si="153"/>
        <v>0</v>
      </c>
      <c r="X179" s="41">
        <f t="shared" si="154"/>
        <v>0</v>
      </c>
      <c r="Y179" s="41">
        <f t="shared" si="155"/>
        <v>0</v>
      </c>
      <c r="Z179" s="41">
        <f t="shared" si="156"/>
        <v>0</v>
      </c>
      <c r="AA179" s="41">
        <f t="shared" si="157"/>
        <v>0</v>
      </c>
      <c r="AB179" s="41">
        <f t="shared" si="158"/>
        <v>0</v>
      </c>
      <c r="AC179" s="41">
        <f t="shared" si="159"/>
        <v>0</v>
      </c>
      <c r="AD179" s="31"/>
      <c r="AE179" s="22">
        <f t="shared" si="160"/>
        <v>0</v>
      </c>
      <c r="AF179" s="22">
        <f t="shared" si="161"/>
        <v>0</v>
      </c>
      <c r="AG179" s="22">
        <f t="shared" si="162"/>
        <v>0</v>
      </c>
      <c r="AI179" s="41">
        <v>21</v>
      </c>
      <c r="AJ179" s="41">
        <f t="shared" si="174"/>
        <v>0</v>
      </c>
      <c r="AK179" s="41">
        <f t="shared" si="175"/>
        <v>0</v>
      </c>
      <c r="AL179" s="43" t="s">
        <v>13</v>
      </c>
      <c r="AQ179" s="41">
        <f t="shared" si="165"/>
        <v>0</v>
      </c>
      <c r="AR179" s="41">
        <f t="shared" si="166"/>
        <v>0</v>
      </c>
      <c r="AS179" s="41">
        <f t="shared" si="167"/>
        <v>0</v>
      </c>
      <c r="AT179" s="44" t="s">
        <v>2436</v>
      </c>
      <c r="AU179" s="44" t="s">
        <v>2480</v>
      </c>
      <c r="AV179" s="31" t="s">
        <v>2486</v>
      </c>
      <c r="AX179" s="41">
        <f t="shared" si="168"/>
        <v>0</v>
      </c>
      <c r="AY179" s="41">
        <f t="shared" si="169"/>
        <v>0</v>
      </c>
      <c r="AZ179" s="41">
        <v>0</v>
      </c>
      <c r="BA179" s="41">
        <f t="shared" si="170"/>
        <v>3.9E-2</v>
      </c>
      <c r="BC179" s="22">
        <f t="shared" si="171"/>
        <v>0</v>
      </c>
      <c r="BD179" s="22">
        <f t="shared" si="172"/>
        <v>0</v>
      </c>
      <c r="BE179" s="22">
        <f t="shared" si="173"/>
        <v>0</v>
      </c>
      <c r="BF179" s="22" t="s">
        <v>1341</v>
      </c>
      <c r="BG179" s="41">
        <v>725</v>
      </c>
    </row>
    <row r="180" spans="1:59" x14ac:dyDescent="0.3">
      <c r="A180" s="6" t="s">
        <v>166</v>
      </c>
      <c r="B180" s="15"/>
      <c r="C180" s="15" t="s">
        <v>1119</v>
      </c>
      <c r="D180" s="107" t="s">
        <v>1796</v>
      </c>
      <c r="E180" s="108"/>
      <c r="F180" s="15" t="s">
        <v>2391</v>
      </c>
      <c r="G180" s="22">
        <v>1</v>
      </c>
      <c r="H180" s="21">
        <v>0</v>
      </c>
      <c r="I180" s="22">
        <f t="shared" si="148"/>
        <v>0</v>
      </c>
      <c r="J180" s="22">
        <f t="shared" si="149"/>
        <v>0</v>
      </c>
      <c r="K180" s="22">
        <f t="shared" si="150"/>
        <v>0</v>
      </c>
      <c r="L180" s="22">
        <v>1.1999999999999999E-3</v>
      </c>
      <c r="M180" s="22">
        <f t="shared" si="151"/>
        <v>1.1999999999999999E-3</v>
      </c>
      <c r="N180" s="37" t="s">
        <v>2417</v>
      </c>
      <c r="O180" s="39"/>
      <c r="U180" s="41">
        <f t="shared" si="152"/>
        <v>0</v>
      </c>
      <c r="W180" s="41">
        <f t="shared" si="153"/>
        <v>0</v>
      </c>
      <c r="X180" s="41">
        <f t="shared" si="154"/>
        <v>0</v>
      </c>
      <c r="Y180" s="41">
        <f t="shared" si="155"/>
        <v>0</v>
      </c>
      <c r="Z180" s="41">
        <f t="shared" si="156"/>
        <v>0</v>
      </c>
      <c r="AA180" s="41">
        <f t="shared" si="157"/>
        <v>0</v>
      </c>
      <c r="AB180" s="41">
        <f t="shared" si="158"/>
        <v>0</v>
      </c>
      <c r="AC180" s="41">
        <f t="shared" si="159"/>
        <v>0</v>
      </c>
      <c r="AD180" s="31"/>
      <c r="AE180" s="22">
        <f t="shared" si="160"/>
        <v>0</v>
      </c>
      <c r="AF180" s="22">
        <f t="shared" si="161"/>
        <v>0</v>
      </c>
      <c r="AG180" s="22">
        <f t="shared" si="162"/>
        <v>0</v>
      </c>
      <c r="AI180" s="41">
        <v>21</v>
      </c>
      <c r="AJ180" s="41">
        <f t="shared" si="174"/>
        <v>0</v>
      </c>
      <c r="AK180" s="41">
        <f t="shared" si="175"/>
        <v>0</v>
      </c>
      <c r="AL180" s="43" t="s">
        <v>13</v>
      </c>
      <c r="AQ180" s="41">
        <f t="shared" si="165"/>
        <v>0</v>
      </c>
      <c r="AR180" s="41">
        <f t="shared" si="166"/>
        <v>0</v>
      </c>
      <c r="AS180" s="41">
        <f t="shared" si="167"/>
        <v>0</v>
      </c>
      <c r="AT180" s="44" t="s">
        <v>2436</v>
      </c>
      <c r="AU180" s="44" t="s">
        <v>2480</v>
      </c>
      <c r="AV180" s="31" t="s">
        <v>2486</v>
      </c>
      <c r="AX180" s="41">
        <f t="shared" si="168"/>
        <v>0</v>
      </c>
      <c r="AY180" s="41">
        <f t="shared" si="169"/>
        <v>0</v>
      </c>
      <c r="AZ180" s="41">
        <v>0</v>
      </c>
      <c r="BA180" s="41">
        <f t="shared" si="170"/>
        <v>1.1999999999999999E-3</v>
      </c>
      <c r="BC180" s="22">
        <f t="shared" si="171"/>
        <v>0</v>
      </c>
      <c r="BD180" s="22">
        <f t="shared" si="172"/>
        <v>0</v>
      </c>
      <c r="BE180" s="22">
        <f t="shared" si="173"/>
        <v>0</v>
      </c>
      <c r="BF180" s="22" t="s">
        <v>1341</v>
      </c>
      <c r="BG180" s="41">
        <v>725</v>
      </c>
    </row>
    <row r="181" spans="1:59" x14ac:dyDescent="0.3">
      <c r="A181" s="6" t="s">
        <v>167</v>
      </c>
      <c r="B181" s="15"/>
      <c r="C181" s="15" t="s">
        <v>1119</v>
      </c>
      <c r="D181" s="107" t="s">
        <v>1797</v>
      </c>
      <c r="E181" s="108"/>
      <c r="F181" s="15" t="s">
        <v>2391</v>
      </c>
      <c r="G181" s="22">
        <v>2</v>
      </c>
      <c r="H181" s="21">
        <v>0</v>
      </c>
      <c r="I181" s="22">
        <f t="shared" si="148"/>
        <v>0</v>
      </c>
      <c r="J181" s="22">
        <f t="shared" si="149"/>
        <v>0</v>
      </c>
      <c r="K181" s="22">
        <f t="shared" si="150"/>
        <v>0</v>
      </c>
      <c r="L181" s="22">
        <v>3.0000000000000001E-3</v>
      </c>
      <c r="M181" s="22">
        <f t="shared" si="151"/>
        <v>6.0000000000000001E-3</v>
      </c>
      <c r="N181" s="37" t="s">
        <v>2417</v>
      </c>
      <c r="O181" s="39"/>
      <c r="U181" s="41">
        <f t="shared" si="152"/>
        <v>0</v>
      </c>
      <c r="W181" s="41">
        <f t="shared" si="153"/>
        <v>0</v>
      </c>
      <c r="X181" s="41">
        <f t="shared" si="154"/>
        <v>0</v>
      </c>
      <c r="Y181" s="41">
        <f t="shared" si="155"/>
        <v>0</v>
      </c>
      <c r="Z181" s="41">
        <f t="shared" si="156"/>
        <v>0</v>
      </c>
      <c r="AA181" s="41">
        <f t="shared" si="157"/>
        <v>0</v>
      </c>
      <c r="AB181" s="41">
        <f t="shared" si="158"/>
        <v>0</v>
      </c>
      <c r="AC181" s="41">
        <f t="shared" si="159"/>
        <v>0</v>
      </c>
      <c r="AD181" s="31"/>
      <c r="AE181" s="22">
        <f t="shared" si="160"/>
        <v>0</v>
      </c>
      <c r="AF181" s="22">
        <f t="shared" si="161"/>
        <v>0</v>
      </c>
      <c r="AG181" s="22">
        <f t="shared" si="162"/>
        <v>0</v>
      </c>
      <c r="AI181" s="41">
        <v>21</v>
      </c>
      <c r="AJ181" s="41">
        <f t="shared" si="174"/>
        <v>0</v>
      </c>
      <c r="AK181" s="41">
        <f t="shared" si="175"/>
        <v>0</v>
      </c>
      <c r="AL181" s="43" t="s">
        <v>13</v>
      </c>
      <c r="AQ181" s="41">
        <f t="shared" si="165"/>
        <v>0</v>
      </c>
      <c r="AR181" s="41">
        <f t="shared" si="166"/>
        <v>0</v>
      </c>
      <c r="AS181" s="41">
        <f t="shared" si="167"/>
        <v>0</v>
      </c>
      <c r="AT181" s="44" t="s">
        <v>2436</v>
      </c>
      <c r="AU181" s="44" t="s">
        <v>2480</v>
      </c>
      <c r="AV181" s="31" t="s">
        <v>2486</v>
      </c>
      <c r="AX181" s="41">
        <f t="shared" si="168"/>
        <v>0</v>
      </c>
      <c r="AY181" s="41">
        <f t="shared" si="169"/>
        <v>0</v>
      </c>
      <c r="AZ181" s="41">
        <v>0</v>
      </c>
      <c r="BA181" s="41">
        <f t="shared" si="170"/>
        <v>6.0000000000000001E-3</v>
      </c>
      <c r="BC181" s="22">
        <f t="shared" si="171"/>
        <v>0</v>
      </c>
      <c r="BD181" s="22">
        <f t="shared" si="172"/>
        <v>0</v>
      </c>
      <c r="BE181" s="22">
        <f t="shared" si="173"/>
        <v>0</v>
      </c>
      <c r="BF181" s="22" t="s">
        <v>1341</v>
      </c>
      <c r="BG181" s="41">
        <v>725</v>
      </c>
    </row>
    <row r="182" spans="1:59" x14ac:dyDescent="0.3">
      <c r="A182" s="6" t="s">
        <v>168</v>
      </c>
      <c r="B182" s="15"/>
      <c r="C182" s="15" t="s">
        <v>1119</v>
      </c>
      <c r="D182" s="107" t="s">
        <v>1798</v>
      </c>
      <c r="E182" s="108"/>
      <c r="F182" s="15" t="s">
        <v>2391</v>
      </c>
      <c r="G182" s="22">
        <v>8</v>
      </c>
      <c r="H182" s="21">
        <v>0</v>
      </c>
      <c r="I182" s="22">
        <f t="shared" si="148"/>
        <v>0</v>
      </c>
      <c r="J182" s="22">
        <f t="shared" si="149"/>
        <v>0</v>
      </c>
      <c r="K182" s="22">
        <f t="shared" si="150"/>
        <v>0</v>
      </c>
      <c r="L182" s="22">
        <v>2E-3</v>
      </c>
      <c r="M182" s="22">
        <f t="shared" si="151"/>
        <v>1.6E-2</v>
      </c>
      <c r="N182" s="37" t="s">
        <v>2417</v>
      </c>
      <c r="O182" s="39"/>
      <c r="U182" s="41">
        <f t="shared" si="152"/>
        <v>0</v>
      </c>
      <c r="W182" s="41">
        <f t="shared" si="153"/>
        <v>0</v>
      </c>
      <c r="X182" s="41">
        <f t="shared" si="154"/>
        <v>0</v>
      </c>
      <c r="Y182" s="41">
        <f t="shared" si="155"/>
        <v>0</v>
      </c>
      <c r="Z182" s="41">
        <f t="shared" si="156"/>
        <v>0</v>
      </c>
      <c r="AA182" s="41">
        <f t="shared" si="157"/>
        <v>0</v>
      </c>
      <c r="AB182" s="41">
        <f t="shared" si="158"/>
        <v>0</v>
      </c>
      <c r="AC182" s="41">
        <f t="shared" si="159"/>
        <v>0</v>
      </c>
      <c r="AD182" s="31"/>
      <c r="AE182" s="22">
        <f t="shared" si="160"/>
        <v>0</v>
      </c>
      <c r="AF182" s="22">
        <f t="shared" si="161"/>
        <v>0</v>
      </c>
      <c r="AG182" s="22">
        <f t="shared" si="162"/>
        <v>0</v>
      </c>
      <c r="AI182" s="41">
        <v>21</v>
      </c>
      <c r="AJ182" s="41">
        <f t="shared" si="174"/>
        <v>0</v>
      </c>
      <c r="AK182" s="41">
        <f t="shared" si="175"/>
        <v>0</v>
      </c>
      <c r="AL182" s="43" t="s">
        <v>13</v>
      </c>
      <c r="AQ182" s="41">
        <f t="shared" si="165"/>
        <v>0</v>
      </c>
      <c r="AR182" s="41">
        <f t="shared" si="166"/>
        <v>0</v>
      </c>
      <c r="AS182" s="41">
        <f t="shared" si="167"/>
        <v>0</v>
      </c>
      <c r="AT182" s="44" t="s">
        <v>2436</v>
      </c>
      <c r="AU182" s="44" t="s">
        <v>2480</v>
      </c>
      <c r="AV182" s="31" t="s">
        <v>2486</v>
      </c>
      <c r="AX182" s="41">
        <f t="shared" si="168"/>
        <v>0</v>
      </c>
      <c r="AY182" s="41">
        <f t="shared" si="169"/>
        <v>0</v>
      </c>
      <c r="AZ182" s="41">
        <v>0</v>
      </c>
      <c r="BA182" s="41">
        <f t="shared" si="170"/>
        <v>1.6E-2</v>
      </c>
      <c r="BC182" s="22">
        <f t="shared" si="171"/>
        <v>0</v>
      </c>
      <c r="BD182" s="22">
        <f t="shared" si="172"/>
        <v>0</v>
      </c>
      <c r="BE182" s="22">
        <f t="shared" si="173"/>
        <v>0</v>
      </c>
      <c r="BF182" s="22" t="s">
        <v>1341</v>
      </c>
      <c r="BG182" s="41">
        <v>725</v>
      </c>
    </row>
    <row r="183" spans="1:59" x14ac:dyDescent="0.3">
      <c r="A183" s="6" t="s">
        <v>169</v>
      </c>
      <c r="B183" s="15"/>
      <c r="C183" s="15" t="s">
        <v>1129</v>
      </c>
      <c r="D183" s="107" t="s">
        <v>1799</v>
      </c>
      <c r="E183" s="108"/>
      <c r="F183" s="15" t="s">
        <v>2391</v>
      </c>
      <c r="G183" s="22">
        <v>4</v>
      </c>
      <c r="H183" s="21">
        <v>0</v>
      </c>
      <c r="I183" s="22">
        <f t="shared" si="148"/>
        <v>0</v>
      </c>
      <c r="J183" s="22">
        <f t="shared" si="149"/>
        <v>0</v>
      </c>
      <c r="K183" s="22">
        <f t="shared" si="150"/>
        <v>0</v>
      </c>
      <c r="L183" s="22">
        <v>2E-3</v>
      </c>
      <c r="M183" s="22">
        <f t="shared" si="151"/>
        <v>8.0000000000000002E-3</v>
      </c>
      <c r="N183" s="37" t="s">
        <v>2417</v>
      </c>
      <c r="O183" s="39"/>
      <c r="U183" s="41">
        <f t="shared" si="152"/>
        <v>0</v>
      </c>
      <c r="W183" s="41">
        <f t="shared" si="153"/>
        <v>0</v>
      </c>
      <c r="X183" s="41">
        <f t="shared" si="154"/>
        <v>0</v>
      </c>
      <c r="Y183" s="41">
        <f t="shared" si="155"/>
        <v>0</v>
      </c>
      <c r="Z183" s="41">
        <f t="shared" si="156"/>
        <v>0</v>
      </c>
      <c r="AA183" s="41">
        <f t="shared" si="157"/>
        <v>0</v>
      </c>
      <c r="AB183" s="41">
        <f t="shared" si="158"/>
        <v>0</v>
      </c>
      <c r="AC183" s="41">
        <f t="shared" si="159"/>
        <v>0</v>
      </c>
      <c r="AD183" s="31"/>
      <c r="AE183" s="22">
        <f t="shared" si="160"/>
        <v>0</v>
      </c>
      <c r="AF183" s="22">
        <f t="shared" si="161"/>
        <v>0</v>
      </c>
      <c r="AG183" s="22">
        <f t="shared" si="162"/>
        <v>0</v>
      </c>
      <c r="AI183" s="41">
        <v>21</v>
      </c>
      <c r="AJ183" s="41">
        <f t="shared" si="174"/>
        <v>0</v>
      </c>
      <c r="AK183" s="41">
        <f t="shared" si="175"/>
        <v>0</v>
      </c>
      <c r="AL183" s="43" t="s">
        <v>13</v>
      </c>
      <c r="AQ183" s="41">
        <f t="shared" si="165"/>
        <v>0</v>
      </c>
      <c r="AR183" s="41">
        <f t="shared" si="166"/>
        <v>0</v>
      </c>
      <c r="AS183" s="41">
        <f t="shared" si="167"/>
        <v>0</v>
      </c>
      <c r="AT183" s="44" t="s">
        <v>2436</v>
      </c>
      <c r="AU183" s="44" t="s">
        <v>2480</v>
      </c>
      <c r="AV183" s="31" t="s">
        <v>2486</v>
      </c>
      <c r="AX183" s="41">
        <f t="shared" si="168"/>
        <v>0</v>
      </c>
      <c r="AY183" s="41">
        <f t="shared" si="169"/>
        <v>0</v>
      </c>
      <c r="AZ183" s="41">
        <v>0</v>
      </c>
      <c r="BA183" s="41">
        <f t="shared" si="170"/>
        <v>8.0000000000000002E-3</v>
      </c>
      <c r="BC183" s="22">
        <f t="shared" si="171"/>
        <v>0</v>
      </c>
      <c r="BD183" s="22">
        <f t="shared" si="172"/>
        <v>0</v>
      </c>
      <c r="BE183" s="22">
        <f t="shared" si="173"/>
        <v>0</v>
      </c>
      <c r="BF183" s="22" t="s">
        <v>1341</v>
      </c>
      <c r="BG183" s="41">
        <v>725</v>
      </c>
    </row>
    <row r="184" spans="1:59" x14ac:dyDescent="0.3">
      <c r="A184" s="6" t="s">
        <v>170</v>
      </c>
      <c r="B184" s="15"/>
      <c r="C184" s="15" t="s">
        <v>1130</v>
      </c>
      <c r="D184" s="107" t="s">
        <v>1800</v>
      </c>
      <c r="E184" s="108"/>
      <c r="F184" s="15" t="s">
        <v>2391</v>
      </c>
      <c r="G184" s="22">
        <v>1</v>
      </c>
      <c r="H184" s="21">
        <v>0</v>
      </c>
      <c r="I184" s="22">
        <f t="shared" si="148"/>
        <v>0</v>
      </c>
      <c r="J184" s="22">
        <f t="shared" si="149"/>
        <v>0</v>
      </c>
      <c r="K184" s="22">
        <f t="shared" si="150"/>
        <v>0</v>
      </c>
      <c r="L184" s="22">
        <v>1.9E-3</v>
      </c>
      <c r="M184" s="22">
        <f t="shared" si="151"/>
        <v>1.9E-3</v>
      </c>
      <c r="N184" s="37" t="s">
        <v>2417</v>
      </c>
      <c r="O184" s="39"/>
      <c r="U184" s="41">
        <f t="shared" si="152"/>
        <v>0</v>
      </c>
      <c r="W184" s="41">
        <f t="shared" si="153"/>
        <v>0</v>
      </c>
      <c r="X184" s="41">
        <f t="shared" si="154"/>
        <v>0</v>
      </c>
      <c r="Y184" s="41">
        <f t="shared" si="155"/>
        <v>0</v>
      </c>
      <c r="Z184" s="41">
        <f t="shared" si="156"/>
        <v>0</v>
      </c>
      <c r="AA184" s="41">
        <f t="shared" si="157"/>
        <v>0</v>
      </c>
      <c r="AB184" s="41">
        <f t="shared" si="158"/>
        <v>0</v>
      </c>
      <c r="AC184" s="41">
        <f t="shared" si="159"/>
        <v>0</v>
      </c>
      <c r="AD184" s="31"/>
      <c r="AE184" s="22">
        <f t="shared" si="160"/>
        <v>0</v>
      </c>
      <c r="AF184" s="22">
        <f t="shared" si="161"/>
        <v>0</v>
      </c>
      <c r="AG184" s="22">
        <f t="shared" si="162"/>
        <v>0</v>
      </c>
      <c r="AI184" s="41">
        <v>21</v>
      </c>
      <c r="AJ184" s="41">
        <f t="shared" si="174"/>
        <v>0</v>
      </c>
      <c r="AK184" s="41">
        <f t="shared" si="175"/>
        <v>0</v>
      </c>
      <c r="AL184" s="43" t="s">
        <v>13</v>
      </c>
      <c r="AQ184" s="41">
        <f t="shared" si="165"/>
        <v>0</v>
      </c>
      <c r="AR184" s="41">
        <f t="shared" si="166"/>
        <v>0</v>
      </c>
      <c r="AS184" s="41">
        <f t="shared" si="167"/>
        <v>0</v>
      </c>
      <c r="AT184" s="44" t="s">
        <v>2436</v>
      </c>
      <c r="AU184" s="44" t="s">
        <v>2480</v>
      </c>
      <c r="AV184" s="31" t="s">
        <v>2486</v>
      </c>
      <c r="AX184" s="41">
        <f t="shared" si="168"/>
        <v>0</v>
      </c>
      <c r="AY184" s="41">
        <f t="shared" si="169"/>
        <v>0</v>
      </c>
      <c r="AZ184" s="41">
        <v>0</v>
      </c>
      <c r="BA184" s="41">
        <f t="shared" si="170"/>
        <v>1.9E-3</v>
      </c>
      <c r="BC184" s="22">
        <f t="shared" si="171"/>
        <v>0</v>
      </c>
      <c r="BD184" s="22">
        <f t="shared" si="172"/>
        <v>0</v>
      </c>
      <c r="BE184" s="22">
        <f t="shared" si="173"/>
        <v>0</v>
      </c>
      <c r="BF184" s="22" t="s">
        <v>1341</v>
      </c>
      <c r="BG184" s="41">
        <v>725</v>
      </c>
    </row>
    <row r="185" spans="1:59" x14ac:dyDescent="0.3">
      <c r="A185" s="6" t="s">
        <v>171</v>
      </c>
      <c r="B185" s="15"/>
      <c r="C185" s="15" t="s">
        <v>1131</v>
      </c>
      <c r="D185" s="107" t="s">
        <v>1801</v>
      </c>
      <c r="E185" s="108"/>
      <c r="F185" s="15" t="s">
        <v>2393</v>
      </c>
      <c r="G185" s="22">
        <v>18</v>
      </c>
      <c r="H185" s="21">
        <v>0</v>
      </c>
      <c r="I185" s="22">
        <f t="shared" si="148"/>
        <v>0</v>
      </c>
      <c r="J185" s="22">
        <f t="shared" si="149"/>
        <v>0</v>
      </c>
      <c r="K185" s="22">
        <f t="shared" si="150"/>
        <v>0</v>
      </c>
      <c r="L185" s="22">
        <v>4.7000000000000002E-3</v>
      </c>
      <c r="M185" s="22">
        <f t="shared" si="151"/>
        <v>8.4600000000000009E-2</v>
      </c>
      <c r="N185" s="37" t="s">
        <v>2417</v>
      </c>
      <c r="O185" s="39"/>
      <c r="U185" s="41">
        <f t="shared" si="152"/>
        <v>0</v>
      </c>
      <c r="W185" s="41">
        <f t="shared" si="153"/>
        <v>0</v>
      </c>
      <c r="X185" s="41">
        <f t="shared" si="154"/>
        <v>0</v>
      </c>
      <c r="Y185" s="41">
        <f t="shared" si="155"/>
        <v>0</v>
      </c>
      <c r="Z185" s="41">
        <f t="shared" si="156"/>
        <v>0</v>
      </c>
      <c r="AA185" s="41">
        <f t="shared" si="157"/>
        <v>0</v>
      </c>
      <c r="AB185" s="41">
        <f t="shared" si="158"/>
        <v>0</v>
      </c>
      <c r="AC185" s="41">
        <f t="shared" si="159"/>
        <v>0</v>
      </c>
      <c r="AD185" s="31"/>
      <c r="AE185" s="22">
        <f t="shared" si="160"/>
        <v>0</v>
      </c>
      <c r="AF185" s="22">
        <f t="shared" si="161"/>
        <v>0</v>
      </c>
      <c r="AG185" s="22">
        <f t="shared" si="162"/>
        <v>0</v>
      </c>
      <c r="AI185" s="41">
        <v>21</v>
      </c>
      <c r="AJ185" s="41">
        <f t="shared" si="174"/>
        <v>0</v>
      </c>
      <c r="AK185" s="41">
        <f t="shared" si="175"/>
        <v>0</v>
      </c>
      <c r="AL185" s="43" t="s">
        <v>13</v>
      </c>
      <c r="AQ185" s="41">
        <f t="shared" si="165"/>
        <v>0</v>
      </c>
      <c r="AR185" s="41">
        <f t="shared" si="166"/>
        <v>0</v>
      </c>
      <c r="AS185" s="41">
        <f t="shared" si="167"/>
        <v>0</v>
      </c>
      <c r="AT185" s="44" t="s">
        <v>2436</v>
      </c>
      <c r="AU185" s="44" t="s">
        <v>2480</v>
      </c>
      <c r="AV185" s="31" t="s">
        <v>2486</v>
      </c>
      <c r="AX185" s="41">
        <f t="shared" si="168"/>
        <v>0</v>
      </c>
      <c r="AY185" s="41">
        <f t="shared" si="169"/>
        <v>0</v>
      </c>
      <c r="AZ185" s="41">
        <v>0</v>
      </c>
      <c r="BA185" s="41">
        <f t="shared" si="170"/>
        <v>8.4600000000000009E-2</v>
      </c>
      <c r="BC185" s="22">
        <f t="shared" si="171"/>
        <v>0</v>
      </c>
      <c r="BD185" s="22">
        <f t="shared" si="172"/>
        <v>0</v>
      </c>
      <c r="BE185" s="22">
        <f t="shared" si="173"/>
        <v>0</v>
      </c>
      <c r="BF185" s="22" t="s">
        <v>1341</v>
      </c>
      <c r="BG185" s="41">
        <v>725</v>
      </c>
    </row>
    <row r="186" spans="1:59" x14ac:dyDescent="0.3">
      <c r="A186" s="4" t="s">
        <v>172</v>
      </c>
      <c r="B186" s="13"/>
      <c r="C186" s="13" t="s">
        <v>1132</v>
      </c>
      <c r="D186" s="101" t="s">
        <v>1802</v>
      </c>
      <c r="E186" s="102"/>
      <c r="F186" s="13" t="s">
        <v>2390</v>
      </c>
      <c r="G186" s="21">
        <v>1</v>
      </c>
      <c r="H186" s="21">
        <v>0</v>
      </c>
      <c r="I186" s="21">
        <f t="shared" si="148"/>
        <v>0</v>
      </c>
      <c r="J186" s="21">
        <f t="shared" si="149"/>
        <v>0</v>
      </c>
      <c r="K186" s="21">
        <f t="shared" si="150"/>
        <v>0</v>
      </c>
      <c r="L186" s="21">
        <v>6.0000000000000002E-5</v>
      </c>
      <c r="M186" s="21">
        <f t="shared" si="151"/>
        <v>6.0000000000000002E-5</v>
      </c>
      <c r="N186" s="35" t="s">
        <v>2417</v>
      </c>
      <c r="O186" s="39"/>
      <c r="U186" s="41">
        <f t="shared" si="152"/>
        <v>0</v>
      </c>
      <c r="W186" s="41">
        <f t="shared" si="153"/>
        <v>0</v>
      </c>
      <c r="X186" s="41">
        <f t="shared" si="154"/>
        <v>0</v>
      </c>
      <c r="Y186" s="41">
        <f t="shared" si="155"/>
        <v>0</v>
      </c>
      <c r="Z186" s="41">
        <f t="shared" si="156"/>
        <v>0</v>
      </c>
      <c r="AA186" s="41">
        <f t="shared" si="157"/>
        <v>0</v>
      </c>
      <c r="AB186" s="41">
        <f t="shared" si="158"/>
        <v>0</v>
      </c>
      <c r="AC186" s="41">
        <f t="shared" si="159"/>
        <v>0</v>
      </c>
      <c r="AD186" s="31"/>
      <c r="AE186" s="21">
        <f t="shared" si="160"/>
        <v>0</v>
      </c>
      <c r="AF186" s="21">
        <f t="shared" si="161"/>
        <v>0</v>
      </c>
      <c r="AG186" s="21">
        <f t="shared" si="162"/>
        <v>0</v>
      </c>
      <c r="AI186" s="41">
        <v>21</v>
      </c>
      <c r="AJ186" s="41">
        <f>H186*0.0882352941176471</f>
        <v>0</v>
      </c>
      <c r="AK186" s="41">
        <f>H186*(1-0.0882352941176471)</f>
        <v>0</v>
      </c>
      <c r="AL186" s="42" t="s">
        <v>13</v>
      </c>
      <c r="AQ186" s="41">
        <f t="shared" si="165"/>
        <v>0</v>
      </c>
      <c r="AR186" s="41">
        <f t="shared" si="166"/>
        <v>0</v>
      </c>
      <c r="AS186" s="41">
        <f t="shared" si="167"/>
        <v>0</v>
      </c>
      <c r="AT186" s="44" t="s">
        <v>2436</v>
      </c>
      <c r="AU186" s="44" t="s">
        <v>2480</v>
      </c>
      <c r="AV186" s="31" t="s">
        <v>2486</v>
      </c>
      <c r="AX186" s="41">
        <f t="shared" si="168"/>
        <v>0</v>
      </c>
      <c r="AY186" s="41">
        <f t="shared" si="169"/>
        <v>0</v>
      </c>
      <c r="AZ186" s="41">
        <v>0</v>
      </c>
      <c r="BA186" s="41">
        <f t="shared" si="170"/>
        <v>6.0000000000000002E-5</v>
      </c>
      <c r="BC186" s="21">
        <f t="shared" si="171"/>
        <v>0</v>
      </c>
      <c r="BD186" s="21">
        <f t="shared" si="172"/>
        <v>0</v>
      </c>
      <c r="BE186" s="21">
        <f t="shared" si="173"/>
        <v>0</v>
      </c>
      <c r="BF186" s="21" t="s">
        <v>2492</v>
      </c>
      <c r="BG186" s="41">
        <v>725</v>
      </c>
    </row>
    <row r="187" spans="1:59" x14ac:dyDescent="0.3">
      <c r="A187" s="6" t="s">
        <v>173</v>
      </c>
      <c r="B187" s="15"/>
      <c r="C187" s="15" t="s">
        <v>1133</v>
      </c>
      <c r="D187" s="107" t="s">
        <v>1803</v>
      </c>
      <c r="E187" s="108"/>
      <c r="F187" s="15" t="s">
        <v>2391</v>
      </c>
      <c r="G187" s="22">
        <v>3</v>
      </c>
      <c r="H187" s="21">
        <v>0</v>
      </c>
      <c r="I187" s="22">
        <f t="shared" si="148"/>
        <v>0</v>
      </c>
      <c r="J187" s="22">
        <f t="shared" si="149"/>
        <v>0</v>
      </c>
      <c r="K187" s="22">
        <f t="shared" si="150"/>
        <v>0</v>
      </c>
      <c r="L187" s="22">
        <v>8.5000000000000006E-2</v>
      </c>
      <c r="M187" s="22">
        <f t="shared" si="151"/>
        <v>0.255</v>
      </c>
      <c r="N187" s="37" t="s">
        <v>2417</v>
      </c>
      <c r="O187" s="39"/>
      <c r="U187" s="41">
        <f t="shared" si="152"/>
        <v>0</v>
      </c>
      <c r="W187" s="41">
        <f t="shared" si="153"/>
        <v>0</v>
      </c>
      <c r="X187" s="41">
        <f t="shared" si="154"/>
        <v>0</v>
      </c>
      <c r="Y187" s="41">
        <f t="shared" si="155"/>
        <v>0</v>
      </c>
      <c r="Z187" s="41">
        <f t="shared" si="156"/>
        <v>0</v>
      </c>
      <c r="AA187" s="41">
        <f t="shared" si="157"/>
        <v>0</v>
      </c>
      <c r="AB187" s="41">
        <f t="shared" si="158"/>
        <v>0</v>
      </c>
      <c r="AC187" s="41">
        <f t="shared" si="159"/>
        <v>0</v>
      </c>
      <c r="AD187" s="31"/>
      <c r="AE187" s="22">
        <f t="shared" si="160"/>
        <v>0</v>
      </c>
      <c r="AF187" s="22">
        <f t="shared" si="161"/>
        <v>0</v>
      </c>
      <c r="AG187" s="22">
        <f t="shared" si="162"/>
        <v>0</v>
      </c>
      <c r="AI187" s="41">
        <v>21</v>
      </c>
      <c r="AJ187" s="41">
        <f>H187*1</f>
        <v>0</v>
      </c>
      <c r="AK187" s="41">
        <f>H187*(1-1)</f>
        <v>0</v>
      </c>
      <c r="AL187" s="43" t="s">
        <v>13</v>
      </c>
      <c r="AQ187" s="41">
        <f t="shared" si="165"/>
        <v>0</v>
      </c>
      <c r="AR187" s="41">
        <f t="shared" si="166"/>
        <v>0</v>
      </c>
      <c r="AS187" s="41">
        <f t="shared" si="167"/>
        <v>0</v>
      </c>
      <c r="AT187" s="44" t="s">
        <v>2436</v>
      </c>
      <c r="AU187" s="44" t="s">
        <v>2480</v>
      </c>
      <c r="AV187" s="31" t="s">
        <v>2486</v>
      </c>
      <c r="AX187" s="41">
        <f t="shared" si="168"/>
        <v>0</v>
      </c>
      <c r="AY187" s="41">
        <f t="shared" si="169"/>
        <v>0</v>
      </c>
      <c r="AZ187" s="41">
        <v>0</v>
      </c>
      <c r="BA187" s="41">
        <f t="shared" si="170"/>
        <v>0.255</v>
      </c>
      <c r="BC187" s="22">
        <f t="shared" si="171"/>
        <v>0</v>
      </c>
      <c r="BD187" s="22">
        <f t="shared" si="172"/>
        <v>0</v>
      </c>
      <c r="BE187" s="22">
        <f t="shared" si="173"/>
        <v>0</v>
      </c>
      <c r="BF187" s="22" t="s">
        <v>1341</v>
      </c>
      <c r="BG187" s="41">
        <v>725</v>
      </c>
    </row>
    <row r="188" spans="1:59" x14ac:dyDescent="0.3">
      <c r="A188" s="6" t="s">
        <v>174</v>
      </c>
      <c r="B188" s="15"/>
      <c r="C188" s="15" t="s">
        <v>1134</v>
      </c>
      <c r="D188" s="107" t="s">
        <v>1804</v>
      </c>
      <c r="E188" s="108"/>
      <c r="F188" s="15" t="s">
        <v>2391</v>
      </c>
      <c r="G188" s="22">
        <v>1</v>
      </c>
      <c r="H188" s="21">
        <v>0</v>
      </c>
      <c r="I188" s="22">
        <f t="shared" si="148"/>
        <v>0</v>
      </c>
      <c r="J188" s="22">
        <f t="shared" si="149"/>
        <v>0</v>
      </c>
      <c r="K188" s="22">
        <f t="shared" si="150"/>
        <v>0</v>
      </c>
      <c r="L188" s="22">
        <v>4.4999999999999998E-2</v>
      </c>
      <c r="M188" s="22">
        <f t="shared" si="151"/>
        <v>4.4999999999999998E-2</v>
      </c>
      <c r="N188" s="37" t="s">
        <v>2417</v>
      </c>
      <c r="O188" s="39"/>
      <c r="U188" s="41">
        <f t="shared" si="152"/>
        <v>0</v>
      </c>
      <c r="W188" s="41">
        <f t="shared" si="153"/>
        <v>0</v>
      </c>
      <c r="X188" s="41">
        <f t="shared" si="154"/>
        <v>0</v>
      </c>
      <c r="Y188" s="41">
        <f t="shared" si="155"/>
        <v>0</v>
      </c>
      <c r="Z188" s="41">
        <f t="shared" si="156"/>
        <v>0</v>
      </c>
      <c r="AA188" s="41">
        <f t="shared" si="157"/>
        <v>0</v>
      </c>
      <c r="AB188" s="41">
        <f t="shared" si="158"/>
        <v>0</v>
      </c>
      <c r="AC188" s="41">
        <f t="shared" si="159"/>
        <v>0</v>
      </c>
      <c r="AD188" s="31"/>
      <c r="AE188" s="22">
        <f t="shared" si="160"/>
        <v>0</v>
      </c>
      <c r="AF188" s="22">
        <f t="shared" si="161"/>
        <v>0</v>
      </c>
      <c r="AG188" s="22">
        <f t="shared" si="162"/>
        <v>0</v>
      </c>
      <c r="AI188" s="41">
        <v>21</v>
      </c>
      <c r="AJ188" s="41">
        <f>H188*1</f>
        <v>0</v>
      </c>
      <c r="AK188" s="41">
        <f>H188*(1-1)</f>
        <v>0</v>
      </c>
      <c r="AL188" s="43" t="s">
        <v>13</v>
      </c>
      <c r="AQ188" s="41">
        <f t="shared" si="165"/>
        <v>0</v>
      </c>
      <c r="AR188" s="41">
        <f t="shared" si="166"/>
        <v>0</v>
      </c>
      <c r="AS188" s="41">
        <f t="shared" si="167"/>
        <v>0</v>
      </c>
      <c r="AT188" s="44" t="s">
        <v>2436</v>
      </c>
      <c r="AU188" s="44" t="s">
        <v>2480</v>
      </c>
      <c r="AV188" s="31" t="s">
        <v>2486</v>
      </c>
      <c r="AX188" s="41">
        <f t="shared" si="168"/>
        <v>0</v>
      </c>
      <c r="AY188" s="41">
        <f t="shared" si="169"/>
        <v>0</v>
      </c>
      <c r="AZ188" s="41">
        <v>0</v>
      </c>
      <c r="BA188" s="41">
        <f t="shared" si="170"/>
        <v>4.4999999999999998E-2</v>
      </c>
      <c r="BC188" s="22">
        <f t="shared" si="171"/>
        <v>0</v>
      </c>
      <c r="BD188" s="22">
        <f t="shared" si="172"/>
        <v>0</v>
      </c>
      <c r="BE188" s="22">
        <f t="shared" si="173"/>
        <v>0</v>
      </c>
      <c r="BF188" s="22" t="s">
        <v>1341</v>
      </c>
      <c r="BG188" s="41">
        <v>725</v>
      </c>
    </row>
    <row r="189" spans="1:59" x14ac:dyDescent="0.3">
      <c r="A189" s="5"/>
      <c r="B189" s="14"/>
      <c r="C189" s="14" t="s">
        <v>728</v>
      </c>
      <c r="D189" s="103" t="s">
        <v>1805</v>
      </c>
      <c r="E189" s="104"/>
      <c r="F189" s="19" t="s">
        <v>6</v>
      </c>
      <c r="G189" s="19" t="s">
        <v>6</v>
      </c>
      <c r="H189" s="19" t="s">
        <v>6</v>
      </c>
      <c r="I189" s="47">
        <f>SUM(I190:I190)</f>
        <v>0</v>
      </c>
      <c r="J189" s="47">
        <f>SUM(J190:J190)</f>
        <v>0</v>
      </c>
      <c r="K189" s="47">
        <f>SUM(K190:K190)</f>
        <v>0</v>
      </c>
      <c r="L189" s="31"/>
      <c r="M189" s="47">
        <f>SUM(M190:M190)</f>
        <v>0.24643000000000001</v>
      </c>
      <c r="N189" s="36"/>
      <c r="O189" s="39"/>
      <c r="AD189" s="31"/>
      <c r="AN189" s="47">
        <f>SUM(AE190:AE190)</f>
        <v>0</v>
      </c>
      <c r="AO189" s="47">
        <f>SUM(AF190:AF190)</f>
        <v>0</v>
      </c>
      <c r="AP189" s="47">
        <f>SUM(AG190:AG190)</f>
        <v>0</v>
      </c>
    </row>
    <row r="190" spans="1:59" x14ac:dyDescent="0.3">
      <c r="A190" s="4" t="s">
        <v>175</v>
      </c>
      <c r="B190" s="13"/>
      <c r="C190" s="13" t="s">
        <v>1135</v>
      </c>
      <c r="D190" s="101" t="s">
        <v>1806</v>
      </c>
      <c r="E190" s="102"/>
      <c r="F190" s="13" t="s">
        <v>2392</v>
      </c>
      <c r="G190" s="21">
        <v>19</v>
      </c>
      <c r="H190" s="21">
        <v>0</v>
      </c>
      <c r="I190" s="21">
        <f>G190*AJ190</f>
        <v>0</v>
      </c>
      <c r="J190" s="21">
        <f>G190*AK190</f>
        <v>0</v>
      </c>
      <c r="K190" s="21">
        <f>G190*H190</f>
        <v>0</v>
      </c>
      <c r="L190" s="21">
        <v>1.2970000000000001E-2</v>
      </c>
      <c r="M190" s="21">
        <f>G190*L190</f>
        <v>0.24643000000000001</v>
      </c>
      <c r="N190" s="35" t="s">
        <v>2417</v>
      </c>
      <c r="O190" s="39"/>
      <c r="U190" s="41">
        <f>IF(AL190="5",BE190,0)</f>
        <v>0</v>
      </c>
      <c r="W190" s="41">
        <f>IF(AL190="1",BC190,0)</f>
        <v>0</v>
      </c>
      <c r="X190" s="41">
        <f>IF(AL190="1",BD190,0)</f>
        <v>0</v>
      </c>
      <c r="Y190" s="41">
        <f>IF(AL190="7",BC190,0)</f>
        <v>0</v>
      </c>
      <c r="Z190" s="41">
        <f>IF(AL190="7",BD190,0)</f>
        <v>0</v>
      </c>
      <c r="AA190" s="41">
        <f>IF(AL190="2",BC190,0)</f>
        <v>0</v>
      </c>
      <c r="AB190" s="41">
        <f>IF(AL190="2",BD190,0)</f>
        <v>0</v>
      </c>
      <c r="AC190" s="41">
        <f>IF(AL190="0",BE190,0)</f>
        <v>0</v>
      </c>
      <c r="AD190" s="31"/>
      <c r="AE190" s="21">
        <f>IF(AI190=0,K190,0)</f>
        <v>0</v>
      </c>
      <c r="AF190" s="21">
        <f>IF(AI190=15,K190,0)</f>
        <v>0</v>
      </c>
      <c r="AG190" s="21">
        <f>IF(AI190=21,K190,0)</f>
        <v>0</v>
      </c>
      <c r="AI190" s="41">
        <v>21</v>
      </c>
      <c r="AJ190" s="41">
        <f>H190*0.891266743253689</f>
        <v>0</v>
      </c>
      <c r="AK190" s="41">
        <f>H190*(1-0.891266743253689)</f>
        <v>0</v>
      </c>
      <c r="AL190" s="42" t="s">
        <v>13</v>
      </c>
      <c r="AQ190" s="41">
        <f>AR190+AS190</f>
        <v>0</v>
      </c>
      <c r="AR190" s="41">
        <f>G190*AJ190</f>
        <v>0</v>
      </c>
      <c r="AS190" s="41">
        <f>G190*AK190</f>
        <v>0</v>
      </c>
      <c r="AT190" s="44" t="s">
        <v>2437</v>
      </c>
      <c r="AU190" s="44" t="s">
        <v>2480</v>
      </c>
      <c r="AV190" s="31" t="s">
        <v>2486</v>
      </c>
      <c r="AX190" s="41">
        <f>AR190+AS190</f>
        <v>0</v>
      </c>
      <c r="AY190" s="41">
        <f>H190/(100-AZ190)*100</f>
        <v>0</v>
      </c>
      <c r="AZ190" s="41">
        <v>0</v>
      </c>
      <c r="BA190" s="41">
        <f>M190</f>
        <v>0.24643000000000001</v>
      </c>
      <c r="BC190" s="21">
        <f>G190*AJ190</f>
        <v>0</v>
      </c>
      <c r="BD190" s="21">
        <f>G190*AK190</f>
        <v>0</v>
      </c>
      <c r="BE190" s="21">
        <f>G190*H190</f>
        <v>0</v>
      </c>
      <c r="BF190" s="21" t="s">
        <v>2492</v>
      </c>
      <c r="BG190" s="41">
        <v>726</v>
      </c>
    </row>
    <row r="191" spans="1:59" x14ac:dyDescent="0.3">
      <c r="A191" s="5"/>
      <c r="B191" s="14"/>
      <c r="C191" s="14" t="s">
        <v>730</v>
      </c>
      <c r="D191" s="103" t="s">
        <v>1807</v>
      </c>
      <c r="E191" s="104"/>
      <c r="F191" s="19" t="s">
        <v>6</v>
      </c>
      <c r="G191" s="19" t="s">
        <v>6</v>
      </c>
      <c r="H191" s="19" t="s">
        <v>6</v>
      </c>
      <c r="I191" s="47">
        <f>SUM(I192:I363)</f>
        <v>0</v>
      </c>
      <c r="J191" s="47">
        <f>SUM(J192:J363)</f>
        <v>0</v>
      </c>
      <c r="K191" s="47">
        <f>SUM(K192:K363)</f>
        <v>0</v>
      </c>
      <c r="L191" s="31"/>
      <c r="M191" s="47">
        <f>SUM(M192:M363)</f>
        <v>0</v>
      </c>
      <c r="N191" s="36"/>
      <c r="O191" s="39"/>
      <c r="AD191" s="31"/>
      <c r="AN191" s="47">
        <f>SUM(AE192:AE363)</f>
        <v>0</v>
      </c>
      <c r="AO191" s="47">
        <f>SUM(AF192:AF363)</f>
        <v>0</v>
      </c>
      <c r="AP191" s="47">
        <f>SUM(AG192:AG363)</f>
        <v>0</v>
      </c>
    </row>
    <row r="192" spans="1:59" x14ac:dyDescent="0.3">
      <c r="A192" s="4" t="s">
        <v>176</v>
      </c>
      <c r="B192" s="13"/>
      <c r="C192" s="13" t="s">
        <v>1136</v>
      </c>
      <c r="D192" s="101" t="s">
        <v>1808</v>
      </c>
      <c r="E192" s="102"/>
      <c r="F192" s="13" t="s">
        <v>2384</v>
      </c>
      <c r="G192" s="21">
        <v>1</v>
      </c>
      <c r="H192" s="21">
        <v>0</v>
      </c>
      <c r="I192" s="21">
        <f t="shared" ref="I192:I223" si="176">G192*AJ192</f>
        <v>0</v>
      </c>
      <c r="J192" s="21">
        <f t="shared" ref="J192:J223" si="177">G192*AK192</f>
        <v>0</v>
      </c>
      <c r="K192" s="21">
        <f t="shared" ref="K192:K223" si="178">G192*H192</f>
        <v>0</v>
      </c>
      <c r="L192" s="21">
        <v>0</v>
      </c>
      <c r="M192" s="21">
        <f t="shared" ref="M192:M223" si="179">G192*L192</f>
        <v>0</v>
      </c>
      <c r="N192" s="35"/>
      <c r="O192" s="39"/>
      <c r="U192" s="41">
        <f t="shared" ref="U192:U223" si="180">IF(AL192="5",BE192,0)</f>
        <v>0</v>
      </c>
      <c r="W192" s="41">
        <f t="shared" ref="W192:W223" si="181">IF(AL192="1",BC192,0)</f>
        <v>0</v>
      </c>
      <c r="X192" s="41">
        <f t="shared" ref="X192:X223" si="182">IF(AL192="1",BD192,0)</f>
        <v>0</v>
      </c>
      <c r="Y192" s="41">
        <f t="shared" ref="Y192:Y223" si="183">IF(AL192="7",BC192,0)</f>
        <v>0</v>
      </c>
      <c r="Z192" s="41">
        <f t="shared" ref="Z192:Z223" si="184">IF(AL192="7",BD192,0)</f>
        <v>0</v>
      </c>
      <c r="AA192" s="41">
        <f t="shared" ref="AA192:AA223" si="185">IF(AL192="2",BC192,0)</f>
        <v>0</v>
      </c>
      <c r="AB192" s="41">
        <f t="shared" ref="AB192:AB223" si="186">IF(AL192="2",BD192,0)</f>
        <v>0</v>
      </c>
      <c r="AC192" s="41">
        <f t="shared" ref="AC192:AC223" si="187">IF(AL192="0",BE192,0)</f>
        <v>0</v>
      </c>
      <c r="AD192" s="31"/>
      <c r="AE192" s="21">
        <f t="shared" ref="AE192:AE223" si="188">IF(AI192=0,K192,0)</f>
        <v>0</v>
      </c>
      <c r="AF192" s="21">
        <f t="shared" ref="AF192:AF223" si="189">IF(AI192=15,K192,0)</f>
        <v>0</v>
      </c>
      <c r="AG192" s="21">
        <f t="shared" ref="AG192:AG223" si="190">IF(AI192=21,K192,0)</f>
        <v>0</v>
      </c>
      <c r="AI192" s="41">
        <v>21</v>
      </c>
      <c r="AJ192" s="41">
        <f t="shared" ref="AJ192:AJ223" si="191">H192*0</f>
        <v>0</v>
      </c>
      <c r="AK192" s="41">
        <f t="shared" ref="AK192:AK223" si="192">H192*(1-0)</f>
        <v>0</v>
      </c>
      <c r="AL192" s="42" t="s">
        <v>13</v>
      </c>
      <c r="AQ192" s="41">
        <f t="shared" ref="AQ192:AQ223" si="193">AR192+AS192</f>
        <v>0</v>
      </c>
      <c r="AR192" s="41">
        <f t="shared" ref="AR192:AR223" si="194">G192*AJ192</f>
        <v>0</v>
      </c>
      <c r="AS192" s="41">
        <f t="shared" ref="AS192:AS223" si="195">G192*AK192</f>
        <v>0</v>
      </c>
      <c r="AT192" s="44" t="s">
        <v>2438</v>
      </c>
      <c r="AU192" s="44" t="s">
        <v>2480</v>
      </c>
      <c r="AV192" s="31" t="s">
        <v>2486</v>
      </c>
      <c r="AX192" s="41">
        <f t="shared" ref="AX192:AX223" si="196">AR192+AS192</f>
        <v>0</v>
      </c>
      <c r="AY192" s="41">
        <f t="shared" ref="AY192:AY223" si="197">H192/(100-AZ192)*100</f>
        <v>0</v>
      </c>
      <c r="AZ192" s="41">
        <v>0</v>
      </c>
      <c r="BA192" s="41">
        <f t="shared" ref="BA192:BA223" si="198">M192</f>
        <v>0</v>
      </c>
      <c r="BC192" s="21">
        <f t="shared" ref="BC192:BC223" si="199">G192*AJ192</f>
        <v>0</v>
      </c>
      <c r="BD192" s="21">
        <f t="shared" ref="BD192:BD223" si="200">G192*AK192</f>
        <v>0</v>
      </c>
      <c r="BE192" s="21">
        <f t="shared" ref="BE192:BE223" si="201">G192*H192</f>
        <v>0</v>
      </c>
      <c r="BF192" s="21" t="s">
        <v>2492</v>
      </c>
      <c r="BG192" s="41">
        <v>728</v>
      </c>
    </row>
    <row r="193" spans="1:59" x14ac:dyDescent="0.3">
      <c r="A193" s="4" t="s">
        <v>177</v>
      </c>
      <c r="B193" s="13"/>
      <c r="C193" s="13" t="s">
        <v>1136</v>
      </c>
      <c r="D193" s="101" t="s">
        <v>1809</v>
      </c>
      <c r="E193" s="102"/>
      <c r="F193" s="13" t="s">
        <v>2384</v>
      </c>
      <c r="G193" s="21">
        <v>1</v>
      </c>
      <c r="H193" s="21">
        <v>0</v>
      </c>
      <c r="I193" s="21">
        <f t="shared" si="176"/>
        <v>0</v>
      </c>
      <c r="J193" s="21">
        <f t="shared" si="177"/>
        <v>0</v>
      </c>
      <c r="K193" s="21">
        <f t="shared" si="178"/>
        <v>0</v>
      </c>
      <c r="L193" s="21">
        <v>0</v>
      </c>
      <c r="M193" s="21">
        <f t="shared" si="179"/>
        <v>0</v>
      </c>
      <c r="N193" s="35"/>
      <c r="O193" s="39"/>
      <c r="U193" s="41">
        <f t="shared" si="180"/>
        <v>0</v>
      </c>
      <c r="W193" s="41">
        <f t="shared" si="181"/>
        <v>0</v>
      </c>
      <c r="X193" s="41">
        <f t="shared" si="182"/>
        <v>0</v>
      </c>
      <c r="Y193" s="41">
        <f t="shared" si="183"/>
        <v>0</v>
      </c>
      <c r="Z193" s="41">
        <f t="shared" si="184"/>
        <v>0</v>
      </c>
      <c r="AA193" s="41">
        <f t="shared" si="185"/>
        <v>0</v>
      </c>
      <c r="AB193" s="41">
        <f t="shared" si="186"/>
        <v>0</v>
      </c>
      <c r="AC193" s="41">
        <f t="shared" si="187"/>
        <v>0</v>
      </c>
      <c r="AD193" s="31"/>
      <c r="AE193" s="21">
        <f t="shared" si="188"/>
        <v>0</v>
      </c>
      <c r="AF193" s="21">
        <f t="shared" si="189"/>
        <v>0</v>
      </c>
      <c r="AG193" s="21">
        <f t="shared" si="190"/>
        <v>0</v>
      </c>
      <c r="AI193" s="41">
        <v>21</v>
      </c>
      <c r="AJ193" s="41">
        <f t="shared" si="191"/>
        <v>0</v>
      </c>
      <c r="AK193" s="41">
        <f t="shared" si="192"/>
        <v>0</v>
      </c>
      <c r="AL193" s="42" t="s">
        <v>13</v>
      </c>
      <c r="AQ193" s="41">
        <f t="shared" si="193"/>
        <v>0</v>
      </c>
      <c r="AR193" s="41">
        <f t="shared" si="194"/>
        <v>0</v>
      </c>
      <c r="AS193" s="41">
        <f t="shared" si="195"/>
        <v>0</v>
      </c>
      <c r="AT193" s="44" t="s">
        <v>2438</v>
      </c>
      <c r="AU193" s="44" t="s">
        <v>2480</v>
      </c>
      <c r="AV193" s="31" t="s">
        <v>2486</v>
      </c>
      <c r="AX193" s="41">
        <f t="shared" si="196"/>
        <v>0</v>
      </c>
      <c r="AY193" s="41">
        <f t="shared" si="197"/>
        <v>0</v>
      </c>
      <c r="AZ193" s="41">
        <v>0</v>
      </c>
      <c r="BA193" s="41">
        <f t="shared" si="198"/>
        <v>0</v>
      </c>
      <c r="BC193" s="21">
        <f t="shared" si="199"/>
        <v>0</v>
      </c>
      <c r="BD193" s="21">
        <f t="shared" si="200"/>
        <v>0</v>
      </c>
      <c r="BE193" s="21">
        <f t="shared" si="201"/>
        <v>0</v>
      </c>
      <c r="BF193" s="21" t="s">
        <v>2492</v>
      </c>
      <c r="BG193" s="41">
        <v>728</v>
      </c>
    </row>
    <row r="194" spans="1:59" x14ac:dyDescent="0.3">
      <c r="A194" s="4" t="s">
        <v>178</v>
      </c>
      <c r="B194" s="13"/>
      <c r="C194" s="13" t="s">
        <v>1136</v>
      </c>
      <c r="D194" s="101" t="s">
        <v>1810</v>
      </c>
      <c r="E194" s="102"/>
      <c r="F194" s="13" t="s">
        <v>2384</v>
      </c>
      <c r="G194" s="21">
        <v>1</v>
      </c>
      <c r="H194" s="21">
        <v>0</v>
      </c>
      <c r="I194" s="21">
        <f t="shared" si="176"/>
        <v>0</v>
      </c>
      <c r="J194" s="21">
        <f t="shared" si="177"/>
        <v>0</v>
      </c>
      <c r="K194" s="21">
        <f t="shared" si="178"/>
        <v>0</v>
      </c>
      <c r="L194" s="21">
        <v>0</v>
      </c>
      <c r="M194" s="21">
        <f t="shared" si="179"/>
        <v>0</v>
      </c>
      <c r="N194" s="35"/>
      <c r="O194" s="39"/>
      <c r="U194" s="41">
        <f t="shared" si="180"/>
        <v>0</v>
      </c>
      <c r="W194" s="41">
        <f t="shared" si="181"/>
        <v>0</v>
      </c>
      <c r="X194" s="41">
        <f t="shared" si="182"/>
        <v>0</v>
      </c>
      <c r="Y194" s="41">
        <f t="shared" si="183"/>
        <v>0</v>
      </c>
      <c r="Z194" s="41">
        <f t="shared" si="184"/>
        <v>0</v>
      </c>
      <c r="AA194" s="41">
        <f t="shared" si="185"/>
        <v>0</v>
      </c>
      <c r="AB194" s="41">
        <f t="shared" si="186"/>
        <v>0</v>
      </c>
      <c r="AC194" s="41">
        <f t="shared" si="187"/>
        <v>0</v>
      </c>
      <c r="AD194" s="31"/>
      <c r="AE194" s="21">
        <f t="shared" si="188"/>
        <v>0</v>
      </c>
      <c r="AF194" s="21">
        <f t="shared" si="189"/>
        <v>0</v>
      </c>
      <c r="AG194" s="21">
        <f t="shared" si="190"/>
        <v>0</v>
      </c>
      <c r="AI194" s="41">
        <v>21</v>
      </c>
      <c r="AJ194" s="41">
        <f t="shared" si="191"/>
        <v>0</v>
      </c>
      <c r="AK194" s="41">
        <f t="shared" si="192"/>
        <v>0</v>
      </c>
      <c r="AL194" s="42" t="s">
        <v>13</v>
      </c>
      <c r="AQ194" s="41">
        <f t="shared" si="193"/>
        <v>0</v>
      </c>
      <c r="AR194" s="41">
        <f t="shared" si="194"/>
        <v>0</v>
      </c>
      <c r="AS194" s="41">
        <f t="shared" si="195"/>
        <v>0</v>
      </c>
      <c r="AT194" s="44" t="s">
        <v>2438</v>
      </c>
      <c r="AU194" s="44" t="s">
        <v>2480</v>
      </c>
      <c r="AV194" s="31" t="s">
        <v>2486</v>
      </c>
      <c r="AX194" s="41">
        <f t="shared" si="196"/>
        <v>0</v>
      </c>
      <c r="AY194" s="41">
        <f t="shared" si="197"/>
        <v>0</v>
      </c>
      <c r="AZ194" s="41">
        <v>0</v>
      </c>
      <c r="BA194" s="41">
        <f t="shared" si="198"/>
        <v>0</v>
      </c>
      <c r="BC194" s="21">
        <f t="shared" si="199"/>
        <v>0</v>
      </c>
      <c r="BD194" s="21">
        <f t="shared" si="200"/>
        <v>0</v>
      </c>
      <c r="BE194" s="21">
        <f t="shared" si="201"/>
        <v>0</v>
      </c>
      <c r="BF194" s="21" t="s">
        <v>2492</v>
      </c>
      <c r="BG194" s="41">
        <v>728</v>
      </c>
    </row>
    <row r="195" spans="1:59" x14ac:dyDescent="0.3">
      <c r="A195" s="4" t="s">
        <v>179</v>
      </c>
      <c r="B195" s="13"/>
      <c r="C195" s="13" t="s">
        <v>1136</v>
      </c>
      <c r="D195" s="101" t="s">
        <v>1811</v>
      </c>
      <c r="E195" s="102"/>
      <c r="F195" s="13" t="s">
        <v>2384</v>
      </c>
      <c r="G195" s="21">
        <v>4</v>
      </c>
      <c r="H195" s="21">
        <v>0</v>
      </c>
      <c r="I195" s="21">
        <f t="shared" si="176"/>
        <v>0</v>
      </c>
      <c r="J195" s="21">
        <f t="shared" si="177"/>
        <v>0</v>
      </c>
      <c r="K195" s="21">
        <f t="shared" si="178"/>
        <v>0</v>
      </c>
      <c r="L195" s="21">
        <v>0</v>
      </c>
      <c r="M195" s="21">
        <f t="shared" si="179"/>
        <v>0</v>
      </c>
      <c r="N195" s="35"/>
      <c r="O195" s="39"/>
      <c r="U195" s="41">
        <f t="shared" si="180"/>
        <v>0</v>
      </c>
      <c r="W195" s="41">
        <f t="shared" si="181"/>
        <v>0</v>
      </c>
      <c r="X195" s="41">
        <f t="shared" si="182"/>
        <v>0</v>
      </c>
      <c r="Y195" s="41">
        <f t="shared" si="183"/>
        <v>0</v>
      </c>
      <c r="Z195" s="41">
        <f t="shared" si="184"/>
        <v>0</v>
      </c>
      <c r="AA195" s="41">
        <f t="shared" si="185"/>
        <v>0</v>
      </c>
      <c r="AB195" s="41">
        <f t="shared" si="186"/>
        <v>0</v>
      </c>
      <c r="AC195" s="41">
        <f t="shared" si="187"/>
        <v>0</v>
      </c>
      <c r="AD195" s="31"/>
      <c r="AE195" s="21">
        <f t="shared" si="188"/>
        <v>0</v>
      </c>
      <c r="AF195" s="21">
        <f t="shared" si="189"/>
        <v>0</v>
      </c>
      <c r="AG195" s="21">
        <f t="shared" si="190"/>
        <v>0</v>
      </c>
      <c r="AI195" s="41">
        <v>21</v>
      </c>
      <c r="AJ195" s="41">
        <f t="shared" si="191"/>
        <v>0</v>
      </c>
      <c r="AK195" s="41">
        <f t="shared" si="192"/>
        <v>0</v>
      </c>
      <c r="AL195" s="42" t="s">
        <v>13</v>
      </c>
      <c r="AQ195" s="41">
        <f t="shared" si="193"/>
        <v>0</v>
      </c>
      <c r="AR195" s="41">
        <f t="shared" si="194"/>
        <v>0</v>
      </c>
      <c r="AS195" s="41">
        <f t="shared" si="195"/>
        <v>0</v>
      </c>
      <c r="AT195" s="44" t="s">
        <v>2438</v>
      </c>
      <c r="AU195" s="44" t="s">
        <v>2480</v>
      </c>
      <c r="AV195" s="31" t="s">
        <v>2486</v>
      </c>
      <c r="AX195" s="41">
        <f t="shared" si="196"/>
        <v>0</v>
      </c>
      <c r="AY195" s="41">
        <f t="shared" si="197"/>
        <v>0</v>
      </c>
      <c r="AZ195" s="41">
        <v>0</v>
      </c>
      <c r="BA195" s="41">
        <f t="shared" si="198"/>
        <v>0</v>
      </c>
      <c r="BC195" s="21">
        <f t="shared" si="199"/>
        <v>0</v>
      </c>
      <c r="BD195" s="21">
        <f t="shared" si="200"/>
        <v>0</v>
      </c>
      <c r="BE195" s="21">
        <f t="shared" si="201"/>
        <v>0</v>
      </c>
      <c r="BF195" s="21" t="s">
        <v>2492</v>
      </c>
      <c r="BG195" s="41">
        <v>728</v>
      </c>
    </row>
    <row r="196" spans="1:59" x14ac:dyDescent="0.3">
      <c r="A196" s="4" t="s">
        <v>180</v>
      </c>
      <c r="B196" s="13"/>
      <c r="C196" s="13" t="s">
        <v>1136</v>
      </c>
      <c r="D196" s="101" t="s">
        <v>1812</v>
      </c>
      <c r="E196" s="102"/>
      <c r="F196" s="13" t="s">
        <v>2384</v>
      </c>
      <c r="G196" s="21">
        <v>1</v>
      </c>
      <c r="H196" s="21">
        <v>0</v>
      </c>
      <c r="I196" s="21">
        <f t="shared" si="176"/>
        <v>0</v>
      </c>
      <c r="J196" s="21">
        <f t="shared" si="177"/>
        <v>0</v>
      </c>
      <c r="K196" s="21">
        <f t="shared" si="178"/>
        <v>0</v>
      </c>
      <c r="L196" s="21">
        <v>0</v>
      </c>
      <c r="M196" s="21">
        <f t="shared" si="179"/>
        <v>0</v>
      </c>
      <c r="N196" s="35"/>
      <c r="O196" s="39"/>
      <c r="U196" s="41">
        <f t="shared" si="180"/>
        <v>0</v>
      </c>
      <c r="W196" s="41">
        <f t="shared" si="181"/>
        <v>0</v>
      </c>
      <c r="X196" s="41">
        <f t="shared" si="182"/>
        <v>0</v>
      </c>
      <c r="Y196" s="41">
        <f t="shared" si="183"/>
        <v>0</v>
      </c>
      <c r="Z196" s="41">
        <f t="shared" si="184"/>
        <v>0</v>
      </c>
      <c r="AA196" s="41">
        <f t="shared" si="185"/>
        <v>0</v>
      </c>
      <c r="AB196" s="41">
        <f t="shared" si="186"/>
        <v>0</v>
      </c>
      <c r="AC196" s="41">
        <f t="shared" si="187"/>
        <v>0</v>
      </c>
      <c r="AD196" s="31"/>
      <c r="AE196" s="21">
        <f t="shared" si="188"/>
        <v>0</v>
      </c>
      <c r="AF196" s="21">
        <f t="shared" si="189"/>
        <v>0</v>
      </c>
      <c r="AG196" s="21">
        <f t="shared" si="190"/>
        <v>0</v>
      </c>
      <c r="AI196" s="41">
        <v>21</v>
      </c>
      <c r="AJ196" s="41">
        <f t="shared" si="191"/>
        <v>0</v>
      </c>
      <c r="AK196" s="41">
        <f t="shared" si="192"/>
        <v>0</v>
      </c>
      <c r="AL196" s="42" t="s">
        <v>13</v>
      </c>
      <c r="AQ196" s="41">
        <f t="shared" si="193"/>
        <v>0</v>
      </c>
      <c r="AR196" s="41">
        <f t="shared" si="194"/>
        <v>0</v>
      </c>
      <c r="AS196" s="41">
        <f t="shared" si="195"/>
        <v>0</v>
      </c>
      <c r="AT196" s="44" t="s">
        <v>2438</v>
      </c>
      <c r="AU196" s="44" t="s">
        <v>2480</v>
      </c>
      <c r="AV196" s="31" t="s">
        <v>2486</v>
      </c>
      <c r="AX196" s="41">
        <f t="shared" si="196"/>
        <v>0</v>
      </c>
      <c r="AY196" s="41">
        <f t="shared" si="197"/>
        <v>0</v>
      </c>
      <c r="AZ196" s="41">
        <v>0</v>
      </c>
      <c r="BA196" s="41">
        <f t="shared" si="198"/>
        <v>0</v>
      </c>
      <c r="BC196" s="21">
        <f t="shared" si="199"/>
        <v>0</v>
      </c>
      <c r="BD196" s="21">
        <f t="shared" si="200"/>
        <v>0</v>
      </c>
      <c r="BE196" s="21">
        <f t="shared" si="201"/>
        <v>0</v>
      </c>
      <c r="BF196" s="21" t="s">
        <v>2492</v>
      </c>
      <c r="BG196" s="41">
        <v>728</v>
      </c>
    </row>
    <row r="197" spans="1:59" x14ac:dyDescent="0.3">
      <c r="A197" s="4" t="s">
        <v>181</v>
      </c>
      <c r="B197" s="13"/>
      <c r="C197" s="13" t="s">
        <v>1136</v>
      </c>
      <c r="D197" s="101" t="s">
        <v>1813</v>
      </c>
      <c r="E197" s="102"/>
      <c r="F197" s="13" t="s">
        <v>2384</v>
      </c>
      <c r="G197" s="21">
        <v>1</v>
      </c>
      <c r="H197" s="21">
        <v>0</v>
      </c>
      <c r="I197" s="21">
        <f t="shared" si="176"/>
        <v>0</v>
      </c>
      <c r="J197" s="21">
        <f t="shared" si="177"/>
        <v>0</v>
      </c>
      <c r="K197" s="21">
        <f t="shared" si="178"/>
        <v>0</v>
      </c>
      <c r="L197" s="21">
        <v>0</v>
      </c>
      <c r="M197" s="21">
        <f t="shared" si="179"/>
        <v>0</v>
      </c>
      <c r="N197" s="35"/>
      <c r="O197" s="39"/>
      <c r="U197" s="41">
        <f t="shared" si="180"/>
        <v>0</v>
      </c>
      <c r="W197" s="41">
        <f t="shared" si="181"/>
        <v>0</v>
      </c>
      <c r="X197" s="41">
        <f t="shared" si="182"/>
        <v>0</v>
      </c>
      <c r="Y197" s="41">
        <f t="shared" si="183"/>
        <v>0</v>
      </c>
      <c r="Z197" s="41">
        <f t="shared" si="184"/>
        <v>0</v>
      </c>
      <c r="AA197" s="41">
        <f t="shared" si="185"/>
        <v>0</v>
      </c>
      <c r="AB197" s="41">
        <f t="shared" si="186"/>
        <v>0</v>
      </c>
      <c r="AC197" s="41">
        <f t="shared" si="187"/>
        <v>0</v>
      </c>
      <c r="AD197" s="31"/>
      <c r="AE197" s="21">
        <f t="shared" si="188"/>
        <v>0</v>
      </c>
      <c r="AF197" s="21">
        <f t="shared" si="189"/>
        <v>0</v>
      </c>
      <c r="AG197" s="21">
        <f t="shared" si="190"/>
        <v>0</v>
      </c>
      <c r="AI197" s="41">
        <v>21</v>
      </c>
      <c r="AJ197" s="41">
        <f t="shared" si="191"/>
        <v>0</v>
      </c>
      <c r="AK197" s="41">
        <f t="shared" si="192"/>
        <v>0</v>
      </c>
      <c r="AL197" s="42" t="s">
        <v>13</v>
      </c>
      <c r="AQ197" s="41">
        <f t="shared" si="193"/>
        <v>0</v>
      </c>
      <c r="AR197" s="41">
        <f t="shared" si="194"/>
        <v>0</v>
      </c>
      <c r="AS197" s="41">
        <f t="shared" si="195"/>
        <v>0</v>
      </c>
      <c r="AT197" s="44" t="s">
        <v>2438</v>
      </c>
      <c r="AU197" s="44" t="s">
        <v>2480</v>
      </c>
      <c r="AV197" s="31" t="s">
        <v>2486</v>
      </c>
      <c r="AX197" s="41">
        <f t="shared" si="196"/>
        <v>0</v>
      </c>
      <c r="AY197" s="41">
        <f t="shared" si="197"/>
        <v>0</v>
      </c>
      <c r="AZ197" s="41">
        <v>0</v>
      </c>
      <c r="BA197" s="41">
        <f t="shared" si="198"/>
        <v>0</v>
      </c>
      <c r="BC197" s="21">
        <f t="shared" si="199"/>
        <v>0</v>
      </c>
      <c r="BD197" s="21">
        <f t="shared" si="200"/>
        <v>0</v>
      </c>
      <c r="BE197" s="21">
        <f t="shared" si="201"/>
        <v>0</v>
      </c>
      <c r="BF197" s="21" t="s">
        <v>2492</v>
      </c>
      <c r="BG197" s="41">
        <v>728</v>
      </c>
    </row>
    <row r="198" spans="1:59" x14ac:dyDescent="0.3">
      <c r="A198" s="4" t="s">
        <v>182</v>
      </c>
      <c r="B198" s="13"/>
      <c r="C198" s="13" t="s">
        <v>1136</v>
      </c>
      <c r="D198" s="101" t="s">
        <v>1812</v>
      </c>
      <c r="E198" s="102"/>
      <c r="F198" s="13" t="s">
        <v>2384</v>
      </c>
      <c r="G198" s="21">
        <v>1</v>
      </c>
      <c r="H198" s="21">
        <v>0</v>
      </c>
      <c r="I198" s="21">
        <f t="shared" si="176"/>
        <v>0</v>
      </c>
      <c r="J198" s="21">
        <f t="shared" si="177"/>
        <v>0</v>
      </c>
      <c r="K198" s="21">
        <f t="shared" si="178"/>
        <v>0</v>
      </c>
      <c r="L198" s="21">
        <v>0</v>
      </c>
      <c r="M198" s="21">
        <f t="shared" si="179"/>
        <v>0</v>
      </c>
      <c r="N198" s="35"/>
      <c r="O198" s="39"/>
      <c r="U198" s="41">
        <f t="shared" si="180"/>
        <v>0</v>
      </c>
      <c r="W198" s="41">
        <f t="shared" si="181"/>
        <v>0</v>
      </c>
      <c r="X198" s="41">
        <f t="shared" si="182"/>
        <v>0</v>
      </c>
      <c r="Y198" s="41">
        <f t="shared" si="183"/>
        <v>0</v>
      </c>
      <c r="Z198" s="41">
        <f t="shared" si="184"/>
        <v>0</v>
      </c>
      <c r="AA198" s="41">
        <f t="shared" si="185"/>
        <v>0</v>
      </c>
      <c r="AB198" s="41">
        <f t="shared" si="186"/>
        <v>0</v>
      </c>
      <c r="AC198" s="41">
        <f t="shared" si="187"/>
        <v>0</v>
      </c>
      <c r="AD198" s="31"/>
      <c r="AE198" s="21">
        <f t="shared" si="188"/>
        <v>0</v>
      </c>
      <c r="AF198" s="21">
        <f t="shared" si="189"/>
        <v>0</v>
      </c>
      <c r="AG198" s="21">
        <f t="shared" si="190"/>
        <v>0</v>
      </c>
      <c r="AI198" s="41">
        <v>21</v>
      </c>
      <c r="AJ198" s="41">
        <f t="shared" si="191"/>
        <v>0</v>
      </c>
      <c r="AK198" s="41">
        <f t="shared" si="192"/>
        <v>0</v>
      </c>
      <c r="AL198" s="42" t="s">
        <v>13</v>
      </c>
      <c r="AQ198" s="41">
        <f t="shared" si="193"/>
        <v>0</v>
      </c>
      <c r="AR198" s="41">
        <f t="shared" si="194"/>
        <v>0</v>
      </c>
      <c r="AS198" s="41">
        <f t="shared" si="195"/>
        <v>0</v>
      </c>
      <c r="AT198" s="44" t="s">
        <v>2438</v>
      </c>
      <c r="AU198" s="44" t="s">
        <v>2480</v>
      </c>
      <c r="AV198" s="31" t="s">
        <v>2486</v>
      </c>
      <c r="AX198" s="41">
        <f t="shared" si="196"/>
        <v>0</v>
      </c>
      <c r="AY198" s="41">
        <f t="shared" si="197"/>
        <v>0</v>
      </c>
      <c r="AZ198" s="41">
        <v>0</v>
      </c>
      <c r="BA198" s="41">
        <f t="shared" si="198"/>
        <v>0</v>
      </c>
      <c r="BC198" s="21">
        <f t="shared" si="199"/>
        <v>0</v>
      </c>
      <c r="BD198" s="21">
        <f t="shared" si="200"/>
        <v>0</v>
      </c>
      <c r="BE198" s="21">
        <f t="shared" si="201"/>
        <v>0</v>
      </c>
      <c r="BF198" s="21" t="s">
        <v>2492</v>
      </c>
      <c r="BG198" s="41">
        <v>728</v>
      </c>
    </row>
    <row r="199" spans="1:59" x14ac:dyDescent="0.3">
      <c r="A199" s="4" t="s">
        <v>183</v>
      </c>
      <c r="B199" s="13"/>
      <c r="C199" s="13" t="s">
        <v>1136</v>
      </c>
      <c r="D199" s="101" t="s">
        <v>1813</v>
      </c>
      <c r="E199" s="102"/>
      <c r="F199" s="13" t="s">
        <v>2384</v>
      </c>
      <c r="G199" s="21">
        <v>1</v>
      </c>
      <c r="H199" s="21">
        <v>0</v>
      </c>
      <c r="I199" s="21">
        <f t="shared" si="176"/>
        <v>0</v>
      </c>
      <c r="J199" s="21">
        <f t="shared" si="177"/>
        <v>0</v>
      </c>
      <c r="K199" s="21">
        <f t="shared" si="178"/>
        <v>0</v>
      </c>
      <c r="L199" s="21">
        <v>0</v>
      </c>
      <c r="M199" s="21">
        <f t="shared" si="179"/>
        <v>0</v>
      </c>
      <c r="N199" s="35"/>
      <c r="O199" s="39"/>
      <c r="U199" s="41">
        <f t="shared" si="180"/>
        <v>0</v>
      </c>
      <c r="W199" s="41">
        <f t="shared" si="181"/>
        <v>0</v>
      </c>
      <c r="X199" s="41">
        <f t="shared" si="182"/>
        <v>0</v>
      </c>
      <c r="Y199" s="41">
        <f t="shared" si="183"/>
        <v>0</v>
      </c>
      <c r="Z199" s="41">
        <f t="shared" si="184"/>
        <v>0</v>
      </c>
      <c r="AA199" s="41">
        <f t="shared" si="185"/>
        <v>0</v>
      </c>
      <c r="AB199" s="41">
        <f t="shared" si="186"/>
        <v>0</v>
      </c>
      <c r="AC199" s="41">
        <f t="shared" si="187"/>
        <v>0</v>
      </c>
      <c r="AD199" s="31"/>
      <c r="AE199" s="21">
        <f t="shared" si="188"/>
        <v>0</v>
      </c>
      <c r="AF199" s="21">
        <f t="shared" si="189"/>
        <v>0</v>
      </c>
      <c r="AG199" s="21">
        <f t="shared" si="190"/>
        <v>0</v>
      </c>
      <c r="AI199" s="41">
        <v>21</v>
      </c>
      <c r="AJ199" s="41">
        <f t="shared" si="191"/>
        <v>0</v>
      </c>
      <c r="AK199" s="41">
        <f t="shared" si="192"/>
        <v>0</v>
      </c>
      <c r="AL199" s="42" t="s">
        <v>13</v>
      </c>
      <c r="AQ199" s="41">
        <f t="shared" si="193"/>
        <v>0</v>
      </c>
      <c r="AR199" s="41">
        <f t="shared" si="194"/>
        <v>0</v>
      </c>
      <c r="AS199" s="41">
        <f t="shared" si="195"/>
        <v>0</v>
      </c>
      <c r="AT199" s="44" t="s">
        <v>2438</v>
      </c>
      <c r="AU199" s="44" t="s">
        <v>2480</v>
      </c>
      <c r="AV199" s="31" t="s">
        <v>2486</v>
      </c>
      <c r="AX199" s="41">
        <f t="shared" si="196"/>
        <v>0</v>
      </c>
      <c r="AY199" s="41">
        <f t="shared" si="197"/>
        <v>0</v>
      </c>
      <c r="AZ199" s="41">
        <v>0</v>
      </c>
      <c r="BA199" s="41">
        <f t="shared" si="198"/>
        <v>0</v>
      </c>
      <c r="BC199" s="21">
        <f t="shared" si="199"/>
        <v>0</v>
      </c>
      <c r="BD199" s="21">
        <f t="shared" si="200"/>
        <v>0</v>
      </c>
      <c r="BE199" s="21">
        <f t="shared" si="201"/>
        <v>0</v>
      </c>
      <c r="BF199" s="21" t="s">
        <v>2492</v>
      </c>
      <c r="BG199" s="41">
        <v>728</v>
      </c>
    </row>
    <row r="200" spans="1:59" x14ac:dyDescent="0.3">
      <c r="A200" s="4" t="s">
        <v>184</v>
      </c>
      <c r="B200" s="13"/>
      <c r="C200" s="13" t="s">
        <v>1136</v>
      </c>
      <c r="D200" s="101" t="s">
        <v>1812</v>
      </c>
      <c r="E200" s="102"/>
      <c r="F200" s="13" t="s">
        <v>2384</v>
      </c>
      <c r="G200" s="21">
        <v>1</v>
      </c>
      <c r="H200" s="21">
        <v>0</v>
      </c>
      <c r="I200" s="21">
        <f t="shared" si="176"/>
        <v>0</v>
      </c>
      <c r="J200" s="21">
        <f t="shared" si="177"/>
        <v>0</v>
      </c>
      <c r="K200" s="21">
        <f t="shared" si="178"/>
        <v>0</v>
      </c>
      <c r="L200" s="21">
        <v>0</v>
      </c>
      <c r="M200" s="21">
        <f t="shared" si="179"/>
        <v>0</v>
      </c>
      <c r="N200" s="35"/>
      <c r="O200" s="39"/>
      <c r="U200" s="41">
        <f t="shared" si="180"/>
        <v>0</v>
      </c>
      <c r="W200" s="41">
        <f t="shared" si="181"/>
        <v>0</v>
      </c>
      <c r="X200" s="41">
        <f t="shared" si="182"/>
        <v>0</v>
      </c>
      <c r="Y200" s="41">
        <f t="shared" si="183"/>
        <v>0</v>
      </c>
      <c r="Z200" s="41">
        <f t="shared" si="184"/>
        <v>0</v>
      </c>
      <c r="AA200" s="41">
        <f t="shared" si="185"/>
        <v>0</v>
      </c>
      <c r="AB200" s="41">
        <f t="shared" si="186"/>
        <v>0</v>
      </c>
      <c r="AC200" s="41">
        <f t="shared" si="187"/>
        <v>0</v>
      </c>
      <c r="AD200" s="31"/>
      <c r="AE200" s="21">
        <f t="shared" si="188"/>
        <v>0</v>
      </c>
      <c r="AF200" s="21">
        <f t="shared" si="189"/>
        <v>0</v>
      </c>
      <c r="AG200" s="21">
        <f t="shared" si="190"/>
        <v>0</v>
      </c>
      <c r="AI200" s="41">
        <v>21</v>
      </c>
      <c r="AJ200" s="41">
        <f t="shared" si="191"/>
        <v>0</v>
      </c>
      <c r="AK200" s="41">
        <f t="shared" si="192"/>
        <v>0</v>
      </c>
      <c r="AL200" s="42" t="s">
        <v>13</v>
      </c>
      <c r="AQ200" s="41">
        <f t="shared" si="193"/>
        <v>0</v>
      </c>
      <c r="AR200" s="41">
        <f t="shared" si="194"/>
        <v>0</v>
      </c>
      <c r="AS200" s="41">
        <f t="shared" si="195"/>
        <v>0</v>
      </c>
      <c r="AT200" s="44" t="s">
        <v>2438</v>
      </c>
      <c r="AU200" s="44" t="s">
        <v>2480</v>
      </c>
      <c r="AV200" s="31" t="s">
        <v>2486</v>
      </c>
      <c r="AX200" s="41">
        <f t="shared" si="196"/>
        <v>0</v>
      </c>
      <c r="AY200" s="41">
        <f t="shared" si="197"/>
        <v>0</v>
      </c>
      <c r="AZ200" s="41">
        <v>0</v>
      </c>
      <c r="BA200" s="41">
        <f t="shared" si="198"/>
        <v>0</v>
      </c>
      <c r="BC200" s="21">
        <f t="shared" si="199"/>
        <v>0</v>
      </c>
      <c r="BD200" s="21">
        <f t="shared" si="200"/>
        <v>0</v>
      </c>
      <c r="BE200" s="21">
        <f t="shared" si="201"/>
        <v>0</v>
      </c>
      <c r="BF200" s="21" t="s">
        <v>2492</v>
      </c>
      <c r="BG200" s="41">
        <v>728</v>
      </c>
    </row>
    <row r="201" spans="1:59" x14ac:dyDescent="0.3">
      <c r="A201" s="4" t="s">
        <v>185</v>
      </c>
      <c r="B201" s="13"/>
      <c r="C201" s="13" t="s">
        <v>1136</v>
      </c>
      <c r="D201" s="101" t="s">
        <v>1813</v>
      </c>
      <c r="E201" s="102"/>
      <c r="F201" s="13" t="s">
        <v>2384</v>
      </c>
      <c r="G201" s="21">
        <v>1</v>
      </c>
      <c r="H201" s="21">
        <v>0</v>
      </c>
      <c r="I201" s="21">
        <f t="shared" si="176"/>
        <v>0</v>
      </c>
      <c r="J201" s="21">
        <f t="shared" si="177"/>
        <v>0</v>
      </c>
      <c r="K201" s="21">
        <f t="shared" si="178"/>
        <v>0</v>
      </c>
      <c r="L201" s="21">
        <v>0</v>
      </c>
      <c r="M201" s="21">
        <f t="shared" si="179"/>
        <v>0</v>
      </c>
      <c r="N201" s="35"/>
      <c r="O201" s="39"/>
      <c r="U201" s="41">
        <f t="shared" si="180"/>
        <v>0</v>
      </c>
      <c r="W201" s="41">
        <f t="shared" si="181"/>
        <v>0</v>
      </c>
      <c r="X201" s="41">
        <f t="shared" si="182"/>
        <v>0</v>
      </c>
      <c r="Y201" s="41">
        <f t="shared" si="183"/>
        <v>0</v>
      </c>
      <c r="Z201" s="41">
        <f t="shared" si="184"/>
        <v>0</v>
      </c>
      <c r="AA201" s="41">
        <f t="shared" si="185"/>
        <v>0</v>
      </c>
      <c r="AB201" s="41">
        <f t="shared" si="186"/>
        <v>0</v>
      </c>
      <c r="AC201" s="41">
        <f t="shared" si="187"/>
        <v>0</v>
      </c>
      <c r="AD201" s="31"/>
      <c r="AE201" s="21">
        <f t="shared" si="188"/>
        <v>0</v>
      </c>
      <c r="AF201" s="21">
        <f t="shared" si="189"/>
        <v>0</v>
      </c>
      <c r="AG201" s="21">
        <f t="shared" si="190"/>
        <v>0</v>
      </c>
      <c r="AI201" s="41">
        <v>21</v>
      </c>
      <c r="AJ201" s="41">
        <f t="shared" si="191"/>
        <v>0</v>
      </c>
      <c r="AK201" s="41">
        <f t="shared" si="192"/>
        <v>0</v>
      </c>
      <c r="AL201" s="42" t="s">
        <v>13</v>
      </c>
      <c r="AQ201" s="41">
        <f t="shared" si="193"/>
        <v>0</v>
      </c>
      <c r="AR201" s="41">
        <f t="shared" si="194"/>
        <v>0</v>
      </c>
      <c r="AS201" s="41">
        <f t="shared" si="195"/>
        <v>0</v>
      </c>
      <c r="AT201" s="44" t="s">
        <v>2438</v>
      </c>
      <c r="AU201" s="44" t="s">
        <v>2480</v>
      </c>
      <c r="AV201" s="31" t="s">
        <v>2486</v>
      </c>
      <c r="AX201" s="41">
        <f t="shared" si="196"/>
        <v>0</v>
      </c>
      <c r="AY201" s="41">
        <f t="shared" si="197"/>
        <v>0</v>
      </c>
      <c r="AZ201" s="41">
        <v>0</v>
      </c>
      <c r="BA201" s="41">
        <f t="shared" si="198"/>
        <v>0</v>
      </c>
      <c r="BC201" s="21">
        <f t="shared" si="199"/>
        <v>0</v>
      </c>
      <c r="BD201" s="21">
        <f t="shared" si="200"/>
        <v>0</v>
      </c>
      <c r="BE201" s="21">
        <f t="shared" si="201"/>
        <v>0</v>
      </c>
      <c r="BF201" s="21" t="s">
        <v>2492</v>
      </c>
      <c r="BG201" s="41">
        <v>728</v>
      </c>
    </row>
    <row r="202" spans="1:59" x14ac:dyDescent="0.3">
      <c r="A202" s="4" t="s">
        <v>186</v>
      </c>
      <c r="B202" s="13"/>
      <c r="C202" s="13" t="s">
        <v>1136</v>
      </c>
      <c r="D202" s="101" t="s">
        <v>1812</v>
      </c>
      <c r="E202" s="102"/>
      <c r="F202" s="13" t="s">
        <v>2384</v>
      </c>
      <c r="G202" s="21">
        <v>1</v>
      </c>
      <c r="H202" s="21">
        <v>0</v>
      </c>
      <c r="I202" s="21">
        <f t="shared" si="176"/>
        <v>0</v>
      </c>
      <c r="J202" s="21">
        <f t="shared" si="177"/>
        <v>0</v>
      </c>
      <c r="K202" s="21">
        <f t="shared" si="178"/>
        <v>0</v>
      </c>
      <c r="L202" s="21">
        <v>0</v>
      </c>
      <c r="M202" s="21">
        <f t="shared" si="179"/>
        <v>0</v>
      </c>
      <c r="N202" s="35"/>
      <c r="O202" s="39"/>
      <c r="U202" s="41">
        <f t="shared" si="180"/>
        <v>0</v>
      </c>
      <c r="W202" s="41">
        <f t="shared" si="181"/>
        <v>0</v>
      </c>
      <c r="X202" s="41">
        <f t="shared" si="182"/>
        <v>0</v>
      </c>
      <c r="Y202" s="41">
        <f t="shared" si="183"/>
        <v>0</v>
      </c>
      <c r="Z202" s="41">
        <f t="shared" si="184"/>
        <v>0</v>
      </c>
      <c r="AA202" s="41">
        <f t="shared" si="185"/>
        <v>0</v>
      </c>
      <c r="AB202" s="41">
        <f t="shared" si="186"/>
        <v>0</v>
      </c>
      <c r="AC202" s="41">
        <f t="shared" si="187"/>
        <v>0</v>
      </c>
      <c r="AD202" s="31"/>
      <c r="AE202" s="21">
        <f t="shared" si="188"/>
        <v>0</v>
      </c>
      <c r="AF202" s="21">
        <f t="shared" si="189"/>
        <v>0</v>
      </c>
      <c r="AG202" s="21">
        <f t="shared" si="190"/>
        <v>0</v>
      </c>
      <c r="AI202" s="41">
        <v>21</v>
      </c>
      <c r="AJ202" s="41">
        <f t="shared" si="191"/>
        <v>0</v>
      </c>
      <c r="AK202" s="41">
        <f t="shared" si="192"/>
        <v>0</v>
      </c>
      <c r="AL202" s="42" t="s">
        <v>13</v>
      </c>
      <c r="AQ202" s="41">
        <f t="shared" si="193"/>
        <v>0</v>
      </c>
      <c r="AR202" s="41">
        <f t="shared" si="194"/>
        <v>0</v>
      </c>
      <c r="AS202" s="41">
        <f t="shared" si="195"/>
        <v>0</v>
      </c>
      <c r="AT202" s="44" t="s">
        <v>2438</v>
      </c>
      <c r="AU202" s="44" t="s">
        <v>2480</v>
      </c>
      <c r="AV202" s="31" t="s">
        <v>2486</v>
      </c>
      <c r="AX202" s="41">
        <f t="shared" si="196"/>
        <v>0</v>
      </c>
      <c r="AY202" s="41">
        <f t="shared" si="197"/>
        <v>0</v>
      </c>
      <c r="AZ202" s="41">
        <v>0</v>
      </c>
      <c r="BA202" s="41">
        <f t="shared" si="198"/>
        <v>0</v>
      </c>
      <c r="BC202" s="21">
        <f t="shared" si="199"/>
        <v>0</v>
      </c>
      <c r="BD202" s="21">
        <f t="shared" si="200"/>
        <v>0</v>
      </c>
      <c r="BE202" s="21">
        <f t="shared" si="201"/>
        <v>0</v>
      </c>
      <c r="BF202" s="21" t="s">
        <v>2492</v>
      </c>
      <c r="BG202" s="41">
        <v>728</v>
      </c>
    </row>
    <row r="203" spans="1:59" x14ac:dyDescent="0.3">
      <c r="A203" s="4" t="s">
        <v>187</v>
      </c>
      <c r="B203" s="13"/>
      <c r="C203" s="13" t="s">
        <v>1136</v>
      </c>
      <c r="D203" s="101" t="s">
        <v>1814</v>
      </c>
      <c r="E203" s="102"/>
      <c r="F203" s="13" t="s">
        <v>2384</v>
      </c>
      <c r="G203" s="21">
        <v>1</v>
      </c>
      <c r="H203" s="21">
        <v>0</v>
      </c>
      <c r="I203" s="21">
        <f t="shared" si="176"/>
        <v>0</v>
      </c>
      <c r="J203" s="21">
        <f t="shared" si="177"/>
        <v>0</v>
      </c>
      <c r="K203" s="21">
        <f t="shared" si="178"/>
        <v>0</v>
      </c>
      <c r="L203" s="21">
        <v>0</v>
      </c>
      <c r="M203" s="21">
        <f t="shared" si="179"/>
        <v>0</v>
      </c>
      <c r="N203" s="35"/>
      <c r="O203" s="39"/>
      <c r="U203" s="41">
        <f t="shared" si="180"/>
        <v>0</v>
      </c>
      <c r="W203" s="41">
        <f t="shared" si="181"/>
        <v>0</v>
      </c>
      <c r="X203" s="41">
        <f t="shared" si="182"/>
        <v>0</v>
      </c>
      <c r="Y203" s="41">
        <f t="shared" si="183"/>
        <v>0</v>
      </c>
      <c r="Z203" s="41">
        <f t="shared" si="184"/>
        <v>0</v>
      </c>
      <c r="AA203" s="41">
        <f t="shared" si="185"/>
        <v>0</v>
      </c>
      <c r="AB203" s="41">
        <f t="shared" si="186"/>
        <v>0</v>
      </c>
      <c r="AC203" s="41">
        <f t="shared" si="187"/>
        <v>0</v>
      </c>
      <c r="AD203" s="31"/>
      <c r="AE203" s="21">
        <f t="shared" si="188"/>
        <v>0</v>
      </c>
      <c r="AF203" s="21">
        <f t="shared" si="189"/>
        <v>0</v>
      </c>
      <c r="AG203" s="21">
        <f t="shared" si="190"/>
        <v>0</v>
      </c>
      <c r="AI203" s="41">
        <v>21</v>
      </c>
      <c r="AJ203" s="41">
        <f t="shared" si="191"/>
        <v>0</v>
      </c>
      <c r="AK203" s="41">
        <f t="shared" si="192"/>
        <v>0</v>
      </c>
      <c r="AL203" s="42" t="s">
        <v>13</v>
      </c>
      <c r="AQ203" s="41">
        <f t="shared" si="193"/>
        <v>0</v>
      </c>
      <c r="AR203" s="41">
        <f t="shared" si="194"/>
        <v>0</v>
      </c>
      <c r="AS203" s="41">
        <f t="shared" si="195"/>
        <v>0</v>
      </c>
      <c r="AT203" s="44" t="s">
        <v>2438</v>
      </c>
      <c r="AU203" s="44" t="s">
        <v>2480</v>
      </c>
      <c r="AV203" s="31" t="s">
        <v>2486</v>
      </c>
      <c r="AX203" s="41">
        <f t="shared" si="196"/>
        <v>0</v>
      </c>
      <c r="AY203" s="41">
        <f t="shared" si="197"/>
        <v>0</v>
      </c>
      <c r="AZ203" s="41">
        <v>0</v>
      </c>
      <c r="BA203" s="41">
        <f t="shared" si="198"/>
        <v>0</v>
      </c>
      <c r="BC203" s="21">
        <f t="shared" si="199"/>
        <v>0</v>
      </c>
      <c r="BD203" s="21">
        <f t="shared" si="200"/>
        <v>0</v>
      </c>
      <c r="BE203" s="21">
        <f t="shared" si="201"/>
        <v>0</v>
      </c>
      <c r="BF203" s="21" t="s">
        <v>2492</v>
      </c>
      <c r="BG203" s="41">
        <v>728</v>
      </c>
    </row>
    <row r="204" spans="1:59" x14ac:dyDescent="0.3">
      <c r="A204" s="4" t="s">
        <v>188</v>
      </c>
      <c r="B204" s="13"/>
      <c r="C204" s="13" t="s">
        <v>1136</v>
      </c>
      <c r="D204" s="101" t="s">
        <v>1815</v>
      </c>
      <c r="E204" s="102"/>
      <c r="F204" s="13" t="s">
        <v>2384</v>
      </c>
      <c r="G204" s="21">
        <v>1</v>
      </c>
      <c r="H204" s="21">
        <v>0</v>
      </c>
      <c r="I204" s="21">
        <f t="shared" si="176"/>
        <v>0</v>
      </c>
      <c r="J204" s="21">
        <f t="shared" si="177"/>
        <v>0</v>
      </c>
      <c r="K204" s="21">
        <f t="shared" si="178"/>
        <v>0</v>
      </c>
      <c r="L204" s="21">
        <v>0</v>
      </c>
      <c r="M204" s="21">
        <f t="shared" si="179"/>
        <v>0</v>
      </c>
      <c r="N204" s="35"/>
      <c r="O204" s="39"/>
      <c r="U204" s="41">
        <f t="shared" si="180"/>
        <v>0</v>
      </c>
      <c r="W204" s="41">
        <f t="shared" si="181"/>
        <v>0</v>
      </c>
      <c r="X204" s="41">
        <f t="shared" si="182"/>
        <v>0</v>
      </c>
      <c r="Y204" s="41">
        <f t="shared" si="183"/>
        <v>0</v>
      </c>
      <c r="Z204" s="41">
        <f t="shared" si="184"/>
        <v>0</v>
      </c>
      <c r="AA204" s="41">
        <f t="shared" si="185"/>
        <v>0</v>
      </c>
      <c r="AB204" s="41">
        <f t="shared" si="186"/>
        <v>0</v>
      </c>
      <c r="AC204" s="41">
        <f t="shared" si="187"/>
        <v>0</v>
      </c>
      <c r="AD204" s="31"/>
      <c r="AE204" s="21">
        <f t="shared" si="188"/>
        <v>0</v>
      </c>
      <c r="AF204" s="21">
        <f t="shared" si="189"/>
        <v>0</v>
      </c>
      <c r="AG204" s="21">
        <f t="shared" si="190"/>
        <v>0</v>
      </c>
      <c r="AI204" s="41">
        <v>21</v>
      </c>
      <c r="AJ204" s="41">
        <f t="shared" si="191"/>
        <v>0</v>
      </c>
      <c r="AK204" s="41">
        <f t="shared" si="192"/>
        <v>0</v>
      </c>
      <c r="AL204" s="42" t="s">
        <v>13</v>
      </c>
      <c r="AQ204" s="41">
        <f t="shared" si="193"/>
        <v>0</v>
      </c>
      <c r="AR204" s="41">
        <f t="shared" si="194"/>
        <v>0</v>
      </c>
      <c r="AS204" s="41">
        <f t="shared" si="195"/>
        <v>0</v>
      </c>
      <c r="AT204" s="44" t="s">
        <v>2438</v>
      </c>
      <c r="AU204" s="44" t="s">
        <v>2480</v>
      </c>
      <c r="AV204" s="31" t="s">
        <v>2486</v>
      </c>
      <c r="AX204" s="41">
        <f t="shared" si="196"/>
        <v>0</v>
      </c>
      <c r="AY204" s="41">
        <f t="shared" si="197"/>
        <v>0</v>
      </c>
      <c r="AZ204" s="41">
        <v>0</v>
      </c>
      <c r="BA204" s="41">
        <f t="shared" si="198"/>
        <v>0</v>
      </c>
      <c r="BC204" s="21">
        <f t="shared" si="199"/>
        <v>0</v>
      </c>
      <c r="BD204" s="21">
        <f t="shared" si="200"/>
        <v>0</v>
      </c>
      <c r="BE204" s="21">
        <f t="shared" si="201"/>
        <v>0</v>
      </c>
      <c r="BF204" s="21" t="s">
        <v>2492</v>
      </c>
      <c r="BG204" s="41">
        <v>728</v>
      </c>
    </row>
    <row r="205" spans="1:59" x14ac:dyDescent="0.3">
      <c r="A205" s="4" t="s">
        <v>189</v>
      </c>
      <c r="B205" s="13"/>
      <c r="C205" s="13" t="s">
        <v>1136</v>
      </c>
      <c r="D205" s="101" t="s">
        <v>1815</v>
      </c>
      <c r="E205" s="102"/>
      <c r="F205" s="13" t="s">
        <v>2384</v>
      </c>
      <c r="G205" s="21">
        <v>1</v>
      </c>
      <c r="H205" s="21">
        <v>0</v>
      </c>
      <c r="I205" s="21">
        <f t="shared" si="176"/>
        <v>0</v>
      </c>
      <c r="J205" s="21">
        <f t="shared" si="177"/>
        <v>0</v>
      </c>
      <c r="K205" s="21">
        <f t="shared" si="178"/>
        <v>0</v>
      </c>
      <c r="L205" s="21">
        <v>0</v>
      </c>
      <c r="M205" s="21">
        <f t="shared" si="179"/>
        <v>0</v>
      </c>
      <c r="N205" s="35"/>
      <c r="O205" s="39"/>
      <c r="U205" s="41">
        <f t="shared" si="180"/>
        <v>0</v>
      </c>
      <c r="W205" s="41">
        <f t="shared" si="181"/>
        <v>0</v>
      </c>
      <c r="X205" s="41">
        <f t="shared" si="182"/>
        <v>0</v>
      </c>
      <c r="Y205" s="41">
        <f t="shared" si="183"/>
        <v>0</v>
      </c>
      <c r="Z205" s="41">
        <f t="shared" si="184"/>
        <v>0</v>
      </c>
      <c r="AA205" s="41">
        <f t="shared" si="185"/>
        <v>0</v>
      </c>
      <c r="AB205" s="41">
        <f t="shared" si="186"/>
        <v>0</v>
      </c>
      <c r="AC205" s="41">
        <f t="shared" si="187"/>
        <v>0</v>
      </c>
      <c r="AD205" s="31"/>
      <c r="AE205" s="21">
        <f t="shared" si="188"/>
        <v>0</v>
      </c>
      <c r="AF205" s="21">
        <f t="shared" si="189"/>
        <v>0</v>
      </c>
      <c r="AG205" s="21">
        <f t="shared" si="190"/>
        <v>0</v>
      </c>
      <c r="AI205" s="41">
        <v>21</v>
      </c>
      <c r="AJ205" s="41">
        <f t="shared" si="191"/>
        <v>0</v>
      </c>
      <c r="AK205" s="41">
        <f t="shared" si="192"/>
        <v>0</v>
      </c>
      <c r="AL205" s="42" t="s">
        <v>13</v>
      </c>
      <c r="AQ205" s="41">
        <f t="shared" si="193"/>
        <v>0</v>
      </c>
      <c r="AR205" s="41">
        <f t="shared" si="194"/>
        <v>0</v>
      </c>
      <c r="AS205" s="41">
        <f t="shared" si="195"/>
        <v>0</v>
      </c>
      <c r="AT205" s="44" t="s">
        <v>2438</v>
      </c>
      <c r="AU205" s="44" t="s">
        <v>2480</v>
      </c>
      <c r="AV205" s="31" t="s">
        <v>2486</v>
      </c>
      <c r="AX205" s="41">
        <f t="shared" si="196"/>
        <v>0</v>
      </c>
      <c r="AY205" s="41">
        <f t="shared" si="197"/>
        <v>0</v>
      </c>
      <c r="AZ205" s="41">
        <v>0</v>
      </c>
      <c r="BA205" s="41">
        <f t="shared" si="198"/>
        <v>0</v>
      </c>
      <c r="BC205" s="21">
        <f t="shared" si="199"/>
        <v>0</v>
      </c>
      <c r="BD205" s="21">
        <f t="shared" si="200"/>
        <v>0</v>
      </c>
      <c r="BE205" s="21">
        <f t="shared" si="201"/>
        <v>0</v>
      </c>
      <c r="BF205" s="21" t="s">
        <v>2492</v>
      </c>
      <c r="BG205" s="41">
        <v>728</v>
      </c>
    </row>
    <row r="206" spans="1:59" x14ac:dyDescent="0.3">
      <c r="A206" s="4" t="s">
        <v>190</v>
      </c>
      <c r="B206" s="13"/>
      <c r="C206" s="13" t="s">
        <v>1136</v>
      </c>
      <c r="D206" s="101" t="s">
        <v>1815</v>
      </c>
      <c r="E206" s="102"/>
      <c r="F206" s="13" t="s">
        <v>2384</v>
      </c>
      <c r="G206" s="21">
        <v>1</v>
      </c>
      <c r="H206" s="21">
        <v>0</v>
      </c>
      <c r="I206" s="21">
        <f t="shared" si="176"/>
        <v>0</v>
      </c>
      <c r="J206" s="21">
        <f t="shared" si="177"/>
        <v>0</v>
      </c>
      <c r="K206" s="21">
        <f t="shared" si="178"/>
        <v>0</v>
      </c>
      <c r="L206" s="21">
        <v>0</v>
      </c>
      <c r="M206" s="21">
        <f t="shared" si="179"/>
        <v>0</v>
      </c>
      <c r="N206" s="35"/>
      <c r="O206" s="39"/>
      <c r="U206" s="41">
        <f t="shared" si="180"/>
        <v>0</v>
      </c>
      <c r="W206" s="41">
        <f t="shared" si="181"/>
        <v>0</v>
      </c>
      <c r="X206" s="41">
        <f t="shared" si="182"/>
        <v>0</v>
      </c>
      <c r="Y206" s="41">
        <f t="shared" si="183"/>
        <v>0</v>
      </c>
      <c r="Z206" s="41">
        <f t="shared" si="184"/>
        <v>0</v>
      </c>
      <c r="AA206" s="41">
        <f t="shared" si="185"/>
        <v>0</v>
      </c>
      <c r="AB206" s="41">
        <f t="shared" si="186"/>
        <v>0</v>
      </c>
      <c r="AC206" s="41">
        <f t="shared" si="187"/>
        <v>0</v>
      </c>
      <c r="AD206" s="31"/>
      <c r="AE206" s="21">
        <f t="shared" si="188"/>
        <v>0</v>
      </c>
      <c r="AF206" s="21">
        <f t="shared" si="189"/>
        <v>0</v>
      </c>
      <c r="AG206" s="21">
        <f t="shared" si="190"/>
        <v>0</v>
      </c>
      <c r="AI206" s="41">
        <v>21</v>
      </c>
      <c r="AJ206" s="41">
        <f t="shared" si="191"/>
        <v>0</v>
      </c>
      <c r="AK206" s="41">
        <f t="shared" si="192"/>
        <v>0</v>
      </c>
      <c r="AL206" s="42" t="s">
        <v>13</v>
      </c>
      <c r="AQ206" s="41">
        <f t="shared" si="193"/>
        <v>0</v>
      </c>
      <c r="AR206" s="41">
        <f t="shared" si="194"/>
        <v>0</v>
      </c>
      <c r="AS206" s="41">
        <f t="shared" si="195"/>
        <v>0</v>
      </c>
      <c r="AT206" s="44" t="s">
        <v>2438</v>
      </c>
      <c r="AU206" s="44" t="s">
        <v>2480</v>
      </c>
      <c r="AV206" s="31" t="s">
        <v>2486</v>
      </c>
      <c r="AX206" s="41">
        <f t="shared" si="196"/>
        <v>0</v>
      </c>
      <c r="AY206" s="41">
        <f t="shared" si="197"/>
        <v>0</v>
      </c>
      <c r="AZ206" s="41">
        <v>0</v>
      </c>
      <c r="BA206" s="41">
        <f t="shared" si="198"/>
        <v>0</v>
      </c>
      <c r="BC206" s="21">
        <f t="shared" si="199"/>
        <v>0</v>
      </c>
      <c r="BD206" s="21">
        <f t="shared" si="200"/>
        <v>0</v>
      </c>
      <c r="BE206" s="21">
        <f t="shared" si="201"/>
        <v>0</v>
      </c>
      <c r="BF206" s="21" t="s">
        <v>2492</v>
      </c>
      <c r="BG206" s="41">
        <v>728</v>
      </c>
    </row>
    <row r="207" spans="1:59" x14ac:dyDescent="0.3">
      <c r="A207" s="4" t="s">
        <v>191</v>
      </c>
      <c r="B207" s="13"/>
      <c r="C207" s="13" t="s">
        <v>1136</v>
      </c>
      <c r="D207" s="101" t="s">
        <v>1814</v>
      </c>
      <c r="E207" s="102"/>
      <c r="F207" s="13" t="s">
        <v>2384</v>
      </c>
      <c r="G207" s="21">
        <v>1</v>
      </c>
      <c r="H207" s="21">
        <v>0</v>
      </c>
      <c r="I207" s="21">
        <f t="shared" si="176"/>
        <v>0</v>
      </c>
      <c r="J207" s="21">
        <f t="shared" si="177"/>
        <v>0</v>
      </c>
      <c r="K207" s="21">
        <f t="shared" si="178"/>
        <v>0</v>
      </c>
      <c r="L207" s="21">
        <v>0</v>
      </c>
      <c r="M207" s="21">
        <f t="shared" si="179"/>
        <v>0</v>
      </c>
      <c r="N207" s="35"/>
      <c r="O207" s="39"/>
      <c r="U207" s="41">
        <f t="shared" si="180"/>
        <v>0</v>
      </c>
      <c r="W207" s="41">
        <f t="shared" si="181"/>
        <v>0</v>
      </c>
      <c r="X207" s="41">
        <f t="shared" si="182"/>
        <v>0</v>
      </c>
      <c r="Y207" s="41">
        <f t="shared" si="183"/>
        <v>0</v>
      </c>
      <c r="Z207" s="41">
        <f t="shared" si="184"/>
        <v>0</v>
      </c>
      <c r="AA207" s="41">
        <f t="shared" si="185"/>
        <v>0</v>
      </c>
      <c r="AB207" s="41">
        <f t="shared" si="186"/>
        <v>0</v>
      </c>
      <c r="AC207" s="41">
        <f t="shared" si="187"/>
        <v>0</v>
      </c>
      <c r="AD207" s="31"/>
      <c r="AE207" s="21">
        <f t="shared" si="188"/>
        <v>0</v>
      </c>
      <c r="AF207" s="21">
        <f t="shared" si="189"/>
        <v>0</v>
      </c>
      <c r="AG207" s="21">
        <f t="shared" si="190"/>
        <v>0</v>
      </c>
      <c r="AI207" s="41">
        <v>21</v>
      </c>
      <c r="AJ207" s="41">
        <f t="shared" si="191"/>
        <v>0</v>
      </c>
      <c r="AK207" s="41">
        <f t="shared" si="192"/>
        <v>0</v>
      </c>
      <c r="AL207" s="42" t="s">
        <v>13</v>
      </c>
      <c r="AQ207" s="41">
        <f t="shared" si="193"/>
        <v>0</v>
      </c>
      <c r="AR207" s="41">
        <f t="shared" si="194"/>
        <v>0</v>
      </c>
      <c r="AS207" s="41">
        <f t="shared" si="195"/>
        <v>0</v>
      </c>
      <c r="AT207" s="44" t="s">
        <v>2438</v>
      </c>
      <c r="AU207" s="44" t="s">
        <v>2480</v>
      </c>
      <c r="AV207" s="31" t="s">
        <v>2486</v>
      </c>
      <c r="AX207" s="41">
        <f t="shared" si="196"/>
        <v>0</v>
      </c>
      <c r="AY207" s="41">
        <f t="shared" si="197"/>
        <v>0</v>
      </c>
      <c r="AZ207" s="41">
        <v>0</v>
      </c>
      <c r="BA207" s="41">
        <f t="shared" si="198"/>
        <v>0</v>
      </c>
      <c r="BC207" s="21">
        <f t="shared" si="199"/>
        <v>0</v>
      </c>
      <c r="BD207" s="21">
        <f t="shared" si="200"/>
        <v>0</v>
      </c>
      <c r="BE207" s="21">
        <f t="shared" si="201"/>
        <v>0</v>
      </c>
      <c r="BF207" s="21" t="s">
        <v>2492</v>
      </c>
      <c r="BG207" s="41">
        <v>728</v>
      </c>
    </row>
    <row r="208" spans="1:59" x14ac:dyDescent="0.3">
      <c r="A208" s="4" t="s">
        <v>192</v>
      </c>
      <c r="B208" s="13"/>
      <c r="C208" s="13" t="s">
        <v>1136</v>
      </c>
      <c r="D208" s="101" t="s">
        <v>1813</v>
      </c>
      <c r="E208" s="102"/>
      <c r="F208" s="13" t="s">
        <v>2384</v>
      </c>
      <c r="G208" s="21">
        <v>1</v>
      </c>
      <c r="H208" s="21">
        <v>0</v>
      </c>
      <c r="I208" s="21">
        <f t="shared" si="176"/>
        <v>0</v>
      </c>
      <c r="J208" s="21">
        <f t="shared" si="177"/>
        <v>0</v>
      </c>
      <c r="K208" s="21">
        <f t="shared" si="178"/>
        <v>0</v>
      </c>
      <c r="L208" s="21">
        <v>0</v>
      </c>
      <c r="M208" s="21">
        <f t="shared" si="179"/>
        <v>0</v>
      </c>
      <c r="N208" s="35"/>
      <c r="O208" s="39"/>
      <c r="U208" s="41">
        <f t="shared" si="180"/>
        <v>0</v>
      </c>
      <c r="W208" s="41">
        <f t="shared" si="181"/>
        <v>0</v>
      </c>
      <c r="X208" s="41">
        <f t="shared" si="182"/>
        <v>0</v>
      </c>
      <c r="Y208" s="41">
        <f t="shared" si="183"/>
        <v>0</v>
      </c>
      <c r="Z208" s="41">
        <f t="shared" si="184"/>
        <v>0</v>
      </c>
      <c r="AA208" s="41">
        <f t="shared" si="185"/>
        <v>0</v>
      </c>
      <c r="AB208" s="41">
        <f t="shared" si="186"/>
        <v>0</v>
      </c>
      <c r="AC208" s="41">
        <f t="shared" si="187"/>
        <v>0</v>
      </c>
      <c r="AD208" s="31"/>
      <c r="AE208" s="21">
        <f t="shared" si="188"/>
        <v>0</v>
      </c>
      <c r="AF208" s="21">
        <f t="shared" si="189"/>
        <v>0</v>
      </c>
      <c r="AG208" s="21">
        <f t="shared" si="190"/>
        <v>0</v>
      </c>
      <c r="AI208" s="41">
        <v>21</v>
      </c>
      <c r="AJ208" s="41">
        <f t="shared" si="191"/>
        <v>0</v>
      </c>
      <c r="AK208" s="41">
        <f t="shared" si="192"/>
        <v>0</v>
      </c>
      <c r="AL208" s="42" t="s">
        <v>13</v>
      </c>
      <c r="AQ208" s="41">
        <f t="shared" si="193"/>
        <v>0</v>
      </c>
      <c r="AR208" s="41">
        <f t="shared" si="194"/>
        <v>0</v>
      </c>
      <c r="AS208" s="41">
        <f t="shared" si="195"/>
        <v>0</v>
      </c>
      <c r="AT208" s="44" t="s">
        <v>2438</v>
      </c>
      <c r="AU208" s="44" t="s">
        <v>2480</v>
      </c>
      <c r="AV208" s="31" t="s">
        <v>2486</v>
      </c>
      <c r="AX208" s="41">
        <f t="shared" si="196"/>
        <v>0</v>
      </c>
      <c r="AY208" s="41">
        <f t="shared" si="197"/>
        <v>0</v>
      </c>
      <c r="AZ208" s="41">
        <v>0</v>
      </c>
      <c r="BA208" s="41">
        <f t="shared" si="198"/>
        <v>0</v>
      </c>
      <c r="BC208" s="21">
        <f t="shared" si="199"/>
        <v>0</v>
      </c>
      <c r="BD208" s="21">
        <f t="shared" si="200"/>
        <v>0</v>
      </c>
      <c r="BE208" s="21">
        <f t="shared" si="201"/>
        <v>0</v>
      </c>
      <c r="BF208" s="21" t="s">
        <v>2492</v>
      </c>
      <c r="BG208" s="41">
        <v>728</v>
      </c>
    </row>
    <row r="209" spans="1:59" x14ac:dyDescent="0.3">
      <c r="A209" s="4" t="s">
        <v>193</v>
      </c>
      <c r="B209" s="13"/>
      <c r="C209" s="13" t="s">
        <v>1136</v>
      </c>
      <c r="D209" s="101" t="s">
        <v>1816</v>
      </c>
      <c r="E209" s="102"/>
      <c r="F209" s="13" t="s">
        <v>2384</v>
      </c>
      <c r="G209" s="21">
        <v>3</v>
      </c>
      <c r="H209" s="21">
        <v>0</v>
      </c>
      <c r="I209" s="21">
        <f t="shared" si="176"/>
        <v>0</v>
      </c>
      <c r="J209" s="21">
        <f t="shared" si="177"/>
        <v>0</v>
      </c>
      <c r="K209" s="21">
        <f t="shared" si="178"/>
        <v>0</v>
      </c>
      <c r="L209" s="21">
        <v>0</v>
      </c>
      <c r="M209" s="21">
        <f t="shared" si="179"/>
        <v>0</v>
      </c>
      <c r="N209" s="35"/>
      <c r="O209" s="39"/>
      <c r="U209" s="41">
        <f t="shared" si="180"/>
        <v>0</v>
      </c>
      <c r="W209" s="41">
        <f t="shared" si="181"/>
        <v>0</v>
      </c>
      <c r="X209" s="41">
        <f t="shared" si="182"/>
        <v>0</v>
      </c>
      <c r="Y209" s="41">
        <f t="shared" si="183"/>
        <v>0</v>
      </c>
      <c r="Z209" s="41">
        <f t="shared" si="184"/>
        <v>0</v>
      </c>
      <c r="AA209" s="41">
        <f t="shared" si="185"/>
        <v>0</v>
      </c>
      <c r="AB209" s="41">
        <f t="shared" si="186"/>
        <v>0</v>
      </c>
      <c r="AC209" s="41">
        <f t="shared" si="187"/>
        <v>0</v>
      </c>
      <c r="AD209" s="31"/>
      <c r="AE209" s="21">
        <f t="shared" si="188"/>
        <v>0</v>
      </c>
      <c r="AF209" s="21">
        <f t="shared" si="189"/>
        <v>0</v>
      </c>
      <c r="AG209" s="21">
        <f t="shared" si="190"/>
        <v>0</v>
      </c>
      <c r="AI209" s="41">
        <v>21</v>
      </c>
      <c r="AJ209" s="41">
        <f t="shared" si="191"/>
        <v>0</v>
      </c>
      <c r="AK209" s="41">
        <f t="shared" si="192"/>
        <v>0</v>
      </c>
      <c r="AL209" s="42" t="s">
        <v>13</v>
      </c>
      <c r="AQ209" s="41">
        <f t="shared" si="193"/>
        <v>0</v>
      </c>
      <c r="AR209" s="41">
        <f t="shared" si="194"/>
        <v>0</v>
      </c>
      <c r="AS209" s="41">
        <f t="shared" si="195"/>
        <v>0</v>
      </c>
      <c r="AT209" s="44" t="s">
        <v>2438</v>
      </c>
      <c r="AU209" s="44" t="s">
        <v>2480</v>
      </c>
      <c r="AV209" s="31" t="s">
        <v>2486</v>
      </c>
      <c r="AX209" s="41">
        <f t="shared" si="196"/>
        <v>0</v>
      </c>
      <c r="AY209" s="41">
        <f t="shared" si="197"/>
        <v>0</v>
      </c>
      <c r="AZ209" s="41">
        <v>0</v>
      </c>
      <c r="BA209" s="41">
        <f t="shared" si="198"/>
        <v>0</v>
      </c>
      <c r="BC209" s="21">
        <f t="shared" si="199"/>
        <v>0</v>
      </c>
      <c r="BD209" s="21">
        <f t="shared" si="200"/>
        <v>0</v>
      </c>
      <c r="BE209" s="21">
        <f t="shared" si="201"/>
        <v>0</v>
      </c>
      <c r="BF209" s="21" t="s">
        <v>2492</v>
      </c>
      <c r="BG209" s="41">
        <v>728</v>
      </c>
    </row>
    <row r="210" spans="1:59" x14ac:dyDescent="0.3">
      <c r="A210" s="4" t="s">
        <v>194</v>
      </c>
      <c r="B210" s="13"/>
      <c r="C210" s="13" t="s">
        <v>1136</v>
      </c>
      <c r="D210" s="101" t="s">
        <v>1817</v>
      </c>
      <c r="E210" s="102"/>
      <c r="F210" s="13" t="s">
        <v>2384</v>
      </c>
      <c r="G210" s="21">
        <v>10</v>
      </c>
      <c r="H210" s="21">
        <v>0</v>
      </c>
      <c r="I210" s="21">
        <f t="shared" si="176"/>
        <v>0</v>
      </c>
      <c r="J210" s="21">
        <f t="shared" si="177"/>
        <v>0</v>
      </c>
      <c r="K210" s="21">
        <f t="shared" si="178"/>
        <v>0</v>
      </c>
      <c r="L210" s="21">
        <v>0</v>
      </c>
      <c r="M210" s="21">
        <f t="shared" si="179"/>
        <v>0</v>
      </c>
      <c r="N210" s="35"/>
      <c r="O210" s="39"/>
      <c r="U210" s="41">
        <f t="shared" si="180"/>
        <v>0</v>
      </c>
      <c r="W210" s="41">
        <f t="shared" si="181"/>
        <v>0</v>
      </c>
      <c r="X210" s="41">
        <f t="shared" si="182"/>
        <v>0</v>
      </c>
      <c r="Y210" s="41">
        <f t="shared" si="183"/>
        <v>0</v>
      </c>
      <c r="Z210" s="41">
        <f t="shared" si="184"/>
        <v>0</v>
      </c>
      <c r="AA210" s="41">
        <f t="shared" si="185"/>
        <v>0</v>
      </c>
      <c r="AB210" s="41">
        <f t="shared" si="186"/>
        <v>0</v>
      </c>
      <c r="AC210" s="41">
        <f t="shared" si="187"/>
        <v>0</v>
      </c>
      <c r="AD210" s="31"/>
      <c r="AE210" s="21">
        <f t="shared" si="188"/>
        <v>0</v>
      </c>
      <c r="AF210" s="21">
        <f t="shared" si="189"/>
        <v>0</v>
      </c>
      <c r="AG210" s="21">
        <f t="shared" si="190"/>
        <v>0</v>
      </c>
      <c r="AI210" s="41">
        <v>21</v>
      </c>
      <c r="AJ210" s="41">
        <f t="shared" si="191"/>
        <v>0</v>
      </c>
      <c r="AK210" s="41">
        <f t="shared" si="192"/>
        <v>0</v>
      </c>
      <c r="AL210" s="42" t="s">
        <v>13</v>
      </c>
      <c r="AQ210" s="41">
        <f t="shared" si="193"/>
        <v>0</v>
      </c>
      <c r="AR210" s="41">
        <f t="shared" si="194"/>
        <v>0</v>
      </c>
      <c r="AS210" s="41">
        <f t="shared" si="195"/>
        <v>0</v>
      </c>
      <c r="AT210" s="44" t="s">
        <v>2438</v>
      </c>
      <c r="AU210" s="44" t="s">
        <v>2480</v>
      </c>
      <c r="AV210" s="31" t="s">
        <v>2486</v>
      </c>
      <c r="AX210" s="41">
        <f t="shared" si="196"/>
        <v>0</v>
      </c>
      <c r="AY210" s="41">
        <f t="shared" si="197"/>
        <v>0</v>
      </c>
      <c r="AZ210" s="41">
        <v>0</v>
      </c>
      <c r="BA210" s="41">
        <f t="shared" si="198"/>
        <v>0</v>
      </c>
      <c r="BC210" s="21">
        <f t="shared" si="199"/>
        <v>0</v>
      </c>
      <c r="BD210" s="21">
        <f t="shared" si="200"/>
        <v>0</v>
      </c>
      <c r="BE210" s="21">
        <f t="shared" si="201"/>
        <v>0</v>
      </c>
      <c r="BF210" s="21" t="s">
        <v>2492</v>
      </c>
      <c r="BG210" s="41">
        <v>728</v>
      </c>
    </row>
    <row r="211" spans="1:59" x14ac:dyDescent="0.3">
      <c r="A211" s="4" t="s">
        <v>195</v>
      </c>
      <c r="B211" s="13"/>
      <c r="C211" s="13" t="s">
        <v>1136</v>
      </c>
      <c r="D211" s="101" t="s">
        <v>1818</v>
      </c>
      <c r="E211" s="102"/>
      <c r="F211" s="13" t="s">
        <v>2384</v>
      </c>
      <c r="G211" s="21">
        <v>2</v>
      </c>
      <c r="H211" s="21">
        <v>0</v>
      </c>
      <c r="I211" s="21">
        <f t="shared" si="176"/>
        <v>0</v>
      </c>
      <c r="J211" s="21">
        <f t="shared" si="177"/>
        <v>0</v>
      </c>
      <c r="K211" s="21">
        <f t="shared" si="178"/>
        <v>0</v>
      </c>
      <c r="L211" s="21">
        <v>0</v>
      </c>
      <c r="M211" s="21">
        <f t="shared" si="179"/>
        <v>0</v>
      </c>
      <c r="N211" s="35"/>
      <c r="O211" s="39"/>
      <c r="U211" s="41">
        <f t="shared" si="180"/>
        <v>0</v>
      </c>
      <c r="W211" s="41">
        <f t="shared" si="181"/>
        <v>0</v>
      </c>
      <c r="X211" s="41">
        <f t="shared" si="182"/>
        <v>0</v>
      </c>
      <c r="Y211" s="41">
        <f t="shared" si="183"/>
        <v>0</v>
      </c>
      <c r="Z211" s="41">
        <f t="shared" si="184"/>
        <v>0</v>
      </c>
      <c r="AA211" s="41">
        <f t="shared" si="185"/>
        <v>0</v>
      </c>
      <c r="AB211" s="41">
        <f t="shared" si="186"/>
        <v>0</v>
      </c>
      <c r="AC211" s="41">
        <f t="shared" si="187"/>
        <v>0</v>
      </c>
      <c r="AD211" s="31"/>
      <c r="AE211" s="21">
        <f t="shared" si="188"/>
        <v>0</v>
      </c>
      <c r="AF211" s="21">
        <f t="shared" si="189"/>
        <v>0</v>
      </c>
      <c r="AG211" s="21">
        <f t="shared" si="190"/>
        <v>0</v>
      </c>
      <c r="AI211" s="41">
        <v>21</v>
      </c>
      <c r="AJ211" s="41">
        <f t="shared" si="191"/>
        <v>0</v>
      </c>
      <c r="AK211" s="41">
        <f t="shared" si="192"/>
        <v>0</v>
      </c>
      <c r="AL211" s="42" t="s">
        <v>13</v>
      </c>
      <c r="AQ211" s="41">
        <f t="shared" si="193"/>
        <v>0</v>
      </c>
      <c r="AR211" s="41">
        <f t="shared" si="194"/>
        <v>0</v>
      </c>
      <c r="AS211" s="41">
        <f t="shared" si="195"/>
        <v>0</v>
      </c>
      <c r="AT211" s="44" t="s">
        <v>2438</v>
      </c>
      <c r="AU211" s="44" t="s">
        <v>2480</v>
      </c>
      <c r="AV211" s="31" t="s">
        <v>2486</v>
      </c>
      <c r="AX211" s="41">
        <f t="shared" si="196"/>
        <v>0</v>
      </c>
      <c r="AY211" s="41">
        <f t="shared" si="197"/>
        <v>0</v>
      </c>
      <c r="AZ211" s="41">
        <v>0</v>
      </c>
      <c r="BA211" s="41">
        <f t="shared" si="198"/>
        <v>0</v>
      </c>
      <c r="BC211" s="21">
        <f t="shared" si="199"/>
        <v>0</v>
      </c>
      <c r="BD211" s="21">
        <f t="shared" si="200"/>
        <v>0</v>
      </c>
      <c r="BE211" s="21">
        <f t="shared" si="201"/>
        <v>0</v>
      </c>
      <c r="BF211" s="21" t="s">
        <v>2492</v>
      </c>
      <c r="BG211" s="41">
        <v>728</v>
      </c>
    </row>
    <row r="212" spans="1:59" x14ac:dyDescent="0.3">
      <c r="A212" s="4" t="s">
        <v>196</v>
      </c>
      <c r="B212" s="13"/>
      <c r="C212" s="13" t="s">
        <v>1136</v>
      </c>
      <c r="D212" s="101" t="s">
        <v>1819</v>
      </c>
      <c r="E212" s="102"/>
      <c r="F212" s="13" t="s">
        <v>2384</v>
      </c>
      <c r="G212" s="21">
        <v>4</v>
      </c>
      <c r="H212" s="21">
        <v>0</v>
      </c>
      <c r="I212" s="21">
        <f t="shared" si="176"/>
        <v>0</v>
      </c>
      <c r="J212" s="21">
        <f t="shared" si="177"/>
        <v>0</v>
      </c>
      <c r="K212" s="21">
        <f t="shared" si="178"/>
        <v>0</v>
      </c>
      <c r="L212" s="21">
        <v>0</v>
      </c>
      <c r="M212" s="21">
        <f t="shared" si="179"/>
        <v>0</v>
      </c>
      <c r="N212" s="35"/>
      <c r="O212" s="39"/>
      <c r="U212" s="41">
        <f t="shared" si="180"/>
        <v>0</v>
      </c>
      <c r="W212" s="41">
        <f t="shared" si="181"/>
        <v>0</v>
      </c>
      <c r="X212" s="41">
        <f t="shared" si="182"/>
        <v>0</v>
      </c>
      <c r="Y212" s="41">
        <f t="shared" si="183"/>
        <v>0</v>
      </c>
      <c r="Z212" s="41">
        <f t="shared" si="184"/>
        <v>0</v>
      </c>
      <c r="AA212" s="41">
        <f t="shared" si="185"/>
        <v>0</v>
      </c>
      <c r="AB212" s="41">
        <f t="shared" si="186"/>
        <v>0</v>
      </c>
      <c r="AC212" s="41">
        <f t="shared" si="187"/>
        <v>0</v>
      </c>
      <c r="AD212" s="31"/>
      <c r="AE212" s="21">
        <f t="shared" si="188"/>
        <v>0</v>
      </c>
      <c r="AF212" s="21">
        <f t="shared" si="189"/>
        <v>0</v>
      </c>
      <c r="AG212" s="21">
        <f t="shared" si="190"/>
        <v>0</v>
      </c>
      <c r="AI212" s="41">
        <v>21</v>
      </c>
      <c r="AJ212" s="41">
        <f t="shared" si="191"/>
        <v>0</v>
      </c>
      <c r="AK212" s="41">
        <f t="shared" si="192"/>
        <v>0</v>
      </c>
      <c r="AL212" s="42" t="s">
        <v>13</v>
      </c>
      <c r="AQ212" s="41">
        <f t="shared" si="193"/>
        <v>0</v>
      </c>
      <c r="AR212" s="41">
        <f t="shared" si="194"/>
        <v>0</v>
      </c>
      <c r="AS212" s="41">
        <f t="shared" si="195"/>
        <v>0</v>
      </c>
      <c r="AT212" s="44" t="s">
        <v>2438</v>
      </c>
      <c r="AU212" s="44" t="s">
        <v>2480</v>
      </c>
      <c r="AV212" s="31" t="s">
        <v>2486</v>
      </c>
      <c r="AX212" s="41">
        <f t="shared" si="196"/>
        <v>0</v>
      </c>
      <c r="AY212" s="41">
        <f t="shared" si="197"/>
        <v>0</v>
      </c>
      <c r="AZ212" s="41">
        <v>0</v>
      </c>
      <c r="BA212" s="41">
        <f t="shared" si="198"/>
        <v>0</v>
      </c>
      <c r="BC212" s="21">
        <f t="shared" si="199"/>
        <v>0</v>
      </c>
      <c r="BD212" s="21">
        <f t="shared" si="200"/>
        <v>0</v>
      </c>
      <c r="BE212" s="21">
        <f t="shared" si="201"/>
        <v>0</v>
      </c>
      <c r="BF212" s="21" t="s">
        <v>2492</v>
      </c>
      <c r="BG212" s="41">
        <v>728</v>
      </c>
    </row>
    <row r="213" spans="1:59" x14ac:dyDescent="0.3">
      <c r="A213" s="4" t="s">
        <v>197</v>
      </c>
      <c r="B213" s="13"/>
      <c r="C213" s="13" t="s">
        <v>1136</v>
      </c>
      <c r="D213" s="101" t="s">
        <v>1820</v>
      </c>
      <c r="E213" s="102"/>
      <c r="F213" s="13" t="s">
        <v>2384</v>
      </c>
      <c r="G213" s="21">
        <v>1</v>
      </c>
      <c r="H213" s="21">
        <v>0</v>
      </c>
      <c r="I213" s="21">
        <f t="shared" si="176"/>
        <v>0</v>
      </c>
      <c r="J213" s="21">
        <f t="shared" si="177"/>
        <v>0</v>
      </c>
      <c r="K213" s="21">
        <f t="shared" si="178"/>
        <v>0</v>
      </c>
      <c r="L213" s="21">
        <v>0</v>
      </c>
      <c r="M213" s="21">
        <f t="shared" si="179"/>
        <v>0</v>
      </c>
      <c r="N213" s="35"/>
      <c r="O213" s="39"/>
      <c r="U213" s="41">
        <f t="shared" si="180"/>
        <v>0</v>
      </c>
      <c r="W213" s="41">
        <f t="shared" si="181"/>
        <v>0</v>
      </c>
      <c r="X213" s="41">
        <f t="shared" si="182"/>
        <v>0</v>
      </c>
      <c r="Y213" s="41">
        <f t="shared" si="183"/>
        <v>0</v>
      </c>
      <c r="Z213" s="41">
        <f t="shared" si="184"/>
        <v>0</v>
      </c>
      <c r="AA213" s="41">
        <f t="shared" si="185"/>
        <v>0</v>
      </c>
      <c r="AB213" s="41">
        <f t="shared" si="186"/>
        <v>0</v>
      </c>
      <c r="AC213" s="41">
        <f t="shared" si="187"/>
        <v>0</v>
      </c>
      <c r="AD213" s="31"/>
      <c r="AE213" s="21">
        <f t="shared" si="188"/>
        <v>0</v>
      </c>
      <c r="AF213" s="21">
        <f t="shared" si="189"/>
        <v>0</v>
      </c>
      <c r="AG213" s="21">
        <f t="shared" si="190"/>
        <v>0</v>
      </c>
      <c r="AI213" s="41">
        <v>21</v>
      </c>
      <c r="AJ213" s="41">
        <f t="shared" si="191"/>
        <v>0</v>
      </c>
      <c r="AK213" s="41">
        <f t="shared" si="192"/>
        <v>0</v>
      </c>
      <c r="AL213" s="42" t="s">
        <v>13</v>
      </c>
      <c r="AQ213" s="41">
        <f t="shared" si="193"/>
        <v>0</v>
      </c>
      <c r="AR213" s="41">
        <f t="shared" si="194"/>
        <v>0</v>
      </c>
      <c r="AS213" s="41">
        <f t="shared" si="195"/>
        <v>0</v>
      </c>
      <c r="AT213" s="44" t="s">
        <v>2438</v>
      </c>
      <c r="AU213" s="44" t="s">
        <v>2480</v>
      </c>
      <c r="AV213" s="31" t="s">
        <v>2486</v>
      </c>
      <c r="AX213" s="41">
        <f t="shared" si="196"/>
        <v>0</v>
      </c>
      <c r="AY213" s="41">
        <f t="shared" si="197"/>
        <v>0</v>
      </c>
      <c r="AZ213" s="41">
        <v>0</v>
      </c>
      <c r="BA213" s="41">
        <f t="shared" si="198"/>
        <v>0</v>
      </c>
      <c r="BC213" s="21">
        <f t="shared" si="199"/>
        <v>0</v>
      </c>
      <c r="BD213" s="21">
        <f t="shared" si="200"/>
        <v>0</v>
      </c>
      <c r="BE213" s="21">
        <f t="shared" si="201"/>
        <v>0</v>
      </c>
      <c r="BF213" s="21" t="s">
        <v>2492</v>
      </c>
      <c r="BG213" s="41">
        <v>728</v>
      </c>
    </row>
    <row r="214" spans="1:59" x14ac:dyDescent="0.3">
      <c r="A214" s="4" t="s">
        <v>198</v>
      </c>
      <c r="B214" s="13"/>
      <c r="C214" s="13" t="s">
        <v>1136</v>
      </c>
      <c r="D214" s="101" t="s">
        <v>1820</v>
      </c>
      <c r="E214" s="102"/>
      <c r="F214" s="13" t="s">
        <v>2384</v>
      </c>
      <c r="G214" s="21">
        <v>1</v>
      </c>
      <c r="H214" s="21">
        <v>0</v>
      </c>
      <c r="I214" s="21">
        <f t="shared" si="176"/>
        <v>0</v>
      </c>
      <c r="J214" s="21">
        <f t="shared" si="177"/>
        <v>0</v>
      </c>
      <c r="K214" s="21">
        <f t="shared" si="178"/>
        <v>0</v>
      </c>
      <c r="L214" s="21">
        <v>0</v>
      </c>
      <c r="M214" s="21">
        <f t="shared" si="179"/>
        <v>0</v>
      </c>
      <c r="N214" s="35"/>
      <c r="O214" s="39"/>
      <c r="U214" s="41">
        <f t="shared" si="180"/>
        <v>0</v>
      </c>
      <c r="W214" s="41">
        <f t="shared" si="181"/>
        <v>0</v>
      </c>
      <c r="X214" s="41">
        <f t="shared" si="182"/>
        <v>0</v>
      </c>
      <c r="Y214" s="41">
        <f t="shared" si="183"/>
        <v>0</v>
      </c>
      <c r="Z214" s="41">
        <f t="shared" si="184"/>
        <v>0</v>
      </c>
      <c r="AA214" s="41">
        <f t="shared" si="185"/>
        <v>0</v>
      </c>
      <c r="AB214" s="41">
        <f t="shared" si="186"/>
        <v>0</v>
      </c>
      <c r="AC214" s="41">
        <f t="shared" si="187"/>
        <v>0</v>
      </c>
      <c r="AD214" s="31"/>
      <c r="AE214" s="21">
        <f t="shared" si="188"/>
        <v>0</v>
      </c>
      <c r="AF214" s="21">
        <f t="shared" si="189"/>
        <v>0</v>
      </c>
      <c r="AG214" s="21">
        <f t="shared" si="190"/>
        <v>0</v>
      </c>
      <c r="AI214" s="41">
        <v>21</v>
      </c>
      <c r="AJ214" s="41">
        <f t="shared" si="191"/>
        <v>0</v>
      </c>
      <c r="AK214" s="41">
        <f t="shared" si="192"/>
        <v>0</v>
      </c>
      <c r="AL214" s="42" t="s">
        <v>13</v>
      </c>
      <c r="AQ214" s="41">
        <f t="shared" si="193"/>
        <v>0</v>
      </c>
      <c r="AR214" s="41">
        <f t="shared" si="194"/>
        <v>0</v>
      </c>
      <c r="AS214" s="41">
        <f t="shared" si="195"/>
        <v>0</v>
      </c>
      <c r="AT214" s="44" t="s">
        <v>2438</v>
      </c>
      <c r="AU214" s="44" t="s">
        <v>2480</v>
      </c>
      <c r="AV214" s="31" t="s">
        <v>2486</v>
      </c>
      <c r="AX214" s="41">
        <f t="shared" si="196"/>
        <v>0</v>
      </c>
      <c r="AY214" s="41">
        <f t="shared" si="197"/>
        <v>0</v>
      </c>
      <c r="AZ214" s="41">
        <v>0</v>
      </c>
      <c r="BA214" s="41">
        <f t="shared" si="198"/>
        <v>0</v>
      </c>
      <c r="BC214" s="21">
        <f t="shared" si="199"/>
        <v>0</v>
      </c>
      <c r="BD214" s="21">
        <f t="shared" si="200"/>
        <v>0</v>
      </c>
      <c r="BE214" s="21">
        <f t="shared" si="201"/>
        <v>0</v>
      </c>
      <c r="BF214" s="21" t="s">
        <v>2492</v>
      </c>
      <c r="BG214" s="41">
        <v>728</v>
      </c>
    </row>
    <row r="215" spans="1:59" x14ac:dyDescent="0.3">
      <c r="A215" s="4" t="s">
        <v>199</v>
      </c>
      <c r="B215" s="13"/>
      <c r="C215" s="13" t="s">
        <v>1136</v>
      </c>
      <c r="D215" s="101" t="s">
        <v>1821</v>
      </c>
      <c r="E215" s="102"/>
      <c r="F215" s="13" t="s">
        <v>2384</v>
      </c>
      <c r="G215" s="21">
        <v>12</v>
      </c>
      <c r="H215" s="21">
        <v>0</v>
      </c>
      <c r="I215" s="21">
        <f t="shared" si="176"/>
        <v>0</v>
      </c>
      <c r="J215" s="21">
        <f t="shared" si="177"/>
        <v>0</v>
      </c>
      <c r="K215" s="21">
        <f t="shared" si="178"/>
        <v>0</v>
      </c>
      <c r="L215" s="21">
        <v>0</v>
      </c>
      <c r="M215" s="21">
        <f t="shared" si="179"/>
        <v>0</v>
      </c>
      <c r="N215" s="35"/>
      <c r="O215" s="39"/>
      <c r="U215" s="41">
        <f t="shared" si="180"/>
        <v>0</v>
      </c>
      <c r="W215" s="41">
        <f t="shared" si="181"/>
        <v>0</v>
      </c>
      <c r="X215" s="41">
        <f t="shared" si="182"/>
        <v>0</v>
      </c>
      <c r="Y215" s="41">
        <f t="shared" si="183"/>
        <v>0</v>
      </c>
      <c r="Z215" s="41">
        <f t="shared" si="184"/>
        <v>0</v>
      </c>
      <c r="AA215" s="41">
        <f t="shared" si="185"/>
        <v>0</v>
      </c>
      <c r="AB215" s="41">
        <f t="shared" si="186"/>
        <v>0</v>
      </c>
      <c r="AC215" s="41">
        <f t="shared" si="187"/>
        <v>0</v>
      </c>
      <c r="AD215" s="31"/>
      <c r="AE215" s="21">
        <f t="shared" si="188"/>
        <v>0</v>
      </c>
      <c r="AF215" s="21">
        <f t="shared" si="189"/>
        <v>0</v>
      </c>
      <c r="AG215" s="21">
        <f t="shared" si="190"/>
        <v>0</v>
      </c>
      <c r="AI215" s="41">
        <v>21</v>
      </c>
      <c r="AJ215" s="41">
        <f t="shared" si="191"/>
        <v>0</v>
      </c>
      <c r="AK215" s="41">
        <f t="shared" si="192"/>
        <v>0</v>
      </c>
      <c r="AL215" s="42" t="s">
        <v>13</v>
      </c>
      <c r="AQ215" s="41">
        <f t="shared" si="193"/>
        <v>0</v>
      </c>
      <c r="AR215" s="41">
        <f t="shared" si="194"/>
        <v>0</v>
      </c>
      <c r="AS215" s="41">
        <f t="shared" si="195"/>
        <v>0</v>
      </c>
      <c r="AT215" s="44" t="s">
        <v>2438</v>
      </c>
      <c r="AU215" s="44" t="s">
        <v>2480</v>
      </c>
      <c r="AV215" s="31" t="s">
        <v>2486</v>
      </c>
      <c r="AX215" s="41">
        <f t="shared" si="196"/>
        <v>0</v>
      </c>
      <c r="AY215" s="41">
        <f t="shared" si="197"/>
        <v>0</v>
      </c>
      <c r="AZ215" s="41">
        <v>0</v>
      </c>
      <c r="BA215" s="41">
        <f t="shared" si="198"/>
        <v>0</v>
      </c>
      <c r="BC215" s="21">
        <f t="shared" si="199"/>
        <v>0</v>
      </c>
      <c r="BD215" s="21">
        <f t="shared" si="200"/>
        <v>0</v>
      </c>
      <c r="BE215" s="21">
        <f t="shared" si="201"/>
        <v>0</v>
      </c>
      <c r="BF215" s="21" t="s">
        <v>2492</v>
      </c>
      <c r="BG215" s="41">
        <v>728</v>
      </c>
    </row>
    <row r="216" spans="1:59" x14ac:dyDescent="0.3">
      <c r="A216" s="4" t="s">
        <v>200</v>
      </c>
      <c r="B216" s="13"/>
      <c r="C216" s="13" t="s">
        <v>1136</v>
      </c>
      <c r="D216" s="101" t="s">
        <v>1822</v>
      </c>
      <c r="E216" s="102"/>
      <c r="F216" s="13" t="s">
        <v>2384</v>
      </c>
      <c r="G216" s="21">
        <v>1</v>
      </c>
      <c r="H216" s="21">
        <v>0</v>
      </c>
      <c r="I216" s="21">
        <f t="shared" si="176"/>
        <v>0</v>
      </c>
      <c r="J216" s="21">
        <f t="shared" si="177"/>
        <v>0</v>
      </c>
      <c r="K216" s="21">
        <f t="shared" si="178"/>
        <v>0</v>
      </c>
      <c r="L216" s="21">
        <v>0</v>
      </c>
      <c r="M216" s="21">
        <f t="shared" si="179"/>
        <v>0</v>
      </c>
      <c r="N216" s="35"/>
      <c r="O216" s="39"/>
      <c r="U216" s="41">
        <f t="shared" si="180"/>
        <v>0</v>
      </c>
      <c r="W216" s="41">
        <f t="shared" si="181"/>
        <v>0</v>
      </c>
      <c r="X216" s="41">
        <f t="shared" si="182"/>
        <v>0</v>
      </c>
      <c r="Y216" s="41">
        <f t="shared" si="183"/>
        <v>0</v>
      </c>
      <c r="Z216" s="41">
        <f t="shared" si="184"/>
        <v>0</v>
      </c>
      <c r="AA216" s="41">
        <f t="shared" si="185"/>
        <v>0</v>
      </c>
      <c r="AB216" s="41">
        <f t="shared" si="186"/>
        <v>0</v>
      </c>
      <c r="AC216" s="41">
        <f t="shared" si="187"/>
        <v>0</v>
      </c>
      <c r="AD216" s="31"/>
      <c r="AE216" s="21">
        <f t="shared" si="188"/>
        <v>0</v>
      </c>
      <c r="AF216" s="21">
        <f t="shared" si="189"/>
        <v>0</v>
      </c>
      <c r="AG216" s="21">
        <f t="shared" si="190"/>
        <v>0</v>
      </c>
      <c r="AI216" s="41">
        <v>21</v>
      </c>
      <c r="AJ216" s="41">
        <f t="shared" si="191"/>
        <v>0</v>
      </c>
      <c r="AK216" s="41">
        <f t="shared" si="192"/>
        <v>0</v>
      </c>
      <c r="AL216" s="42" t="s">
        <v>13</v>
      </c>
      <c r="AQ216" s="41">
        <f t="shared" si="193"/>
        <v>0</v>
      </c>
      <c r="AR216" s="41">
        <f t="shared" si="194"/>
        <v>0</v>
      </c>
      <c r="AS216" s="41">
        <f t="shared" si="195"/>
        <v>0</v>
      </c>
      <c r="AT216" s="44" t="s">
        <v>2438</v>
      </c>
      <c r="AU216" s="44" t="s">
        <v>2480</v>
      </c>
      <c r="AV216" s="31" t="s">
        <v>2486</v>
      </c>
      <c r="AX216" s="41">
        <f t="shared" si="196"/>
        <v>0</v>
      </c>
      <c r="AY216" s="41">
        <f t="shared" si="197"/>
        <v>0</v>
      </c>
      <c r="AZ216" s="41">
        <v>0</v>
      </c>
      <c r="BA216" s="41">
        <f t="shared" si="198"/>
        <v>0</v>
      </c>
      <c r="BC216" s="21">
        <f t="shared" si="199"/>
        <v>0</v>
      </c>
      <c r="BD216" s="21">
        <f t="shared" si="200"/>
        <v>0</v>
      </c>
      <c r="BE216" s="21">
        <f t="shared" si="201"/>
        <v>0</v>
      </c>
      <c r="BF216" s="21" t="s">
        <v>2492</v>
      </c>
      <c r="BG216" s="41">
        <v>728</v>
      </c>
    </row>
    <row r="217" spans="1:59" x14ac:dyDescent="0.3">
      <c r="A217" s="4" t="s">
        <v>201</v>
      </c>
      <c r="B217" s="13"/>
      <c r="C217" s="13" t="s">
        <v>1136</v>
      </c>
      <c r="D217" s="101" t="s">
        <v>1823</v>
      </c>
      <c r="E217" s="102"/>
      <c r="F217" s="13" t="s">
        <v>2384</v>
      </c>
      <c r="G217" s="21">
        <v>1</v>
      </c>
      <c r="H217" s="21">
        <v>0</v>
      </c>
      <c r="I217" s="21">
        <f t="shared" si="176"/>
        <v>0</v>
      </c>
      <c r="J217" s="21">
        <f t="shared" si="177"/>
        <v>0</v>
      </c>
      <c r="K217" s="21">
        <f t="shared" si="178"/>
        <v>0</v>
      </c>
      <c r="L217" s="21">
        <v>0</v>
      </c>
      <c r="M217" s="21">
        <f t="shared" si="179"/>
        <v>0</v>
      </c>
      <c r="N217" s="35"/>
      <c r="O217" s="39"/>
      <c r="U217" s="41">
        <f t="shared" si="180"/>
        <v>0</v>
      </c>
      <c r="W217" s="41">
        <f t="shared" si="181"/>
        <v>0</v>
      </c>
      <c r="X217" s="41">
        <f t="shared" si="182"/>
        <v>0</v>
      </c>
      <c r="Y217" s="41">
        <f t="shared" si="183"/>
        <v>0</v>
      </c>
      <c r="Z217" s="41">
        <f t="shared" si="184"/>
        <v>0</v>
      </c>
      <c r="AA217" s="41">
        <f t="shared" si="185"/>
        <v>0</v>
      </c>
      <c r="AB217" s="41">
        <f t="shared" si="186"/>
        <v>0</v>
      </c>
      <c r="AC217" s="41">
        <f t="shared" si="187"/>
        <v>0</v>
      </c>
      <c r="AD217" s="31"/>
      <c r="AE217" s="21">
        <f t="shared" si="188"/>
        <v>0</v>
      </c>
      <c r="AF217" s="21">
        <f t="shared" si="189"/>
        <v>0</v>
      </c>
      <c r="AG217" s="21">
        <f t="shared" si="190"/>
        <v>0</v>
      </c>
      <c r="AI217" s="41">
        <v>21</v>
      </c>
      <c r="AJ217" s="41">
        <f t="shared" si="191"/>
        <v>0</v>
      </c>
      <c r="AK217" s="41">
        <f t="shared" si="192"/>
        <v>0</v>
      </c>
      <c r="AL217" s="42" t="s">
        <v>13</v>
      </c>
      <c r="AQ217" s="41">
        <f t="shared" si="193"/>
        <v>0</v>
      </c>
      <c r="AR217" s="41">
        <f t="shared" si="194"/>
        <v>0</v>
      </c>
      <c r="AS217" s="41">
        <f t="shared" si="195"/>
        <v>0</v>
      </c>
      <c r="AT217" s="44" t="s">
        <v>2438</v>
      </c>
      <c r="AU217" s="44" t="s">
        <v>2480</v>
      </c>
      <c r="AV217" s="31" t="s">
        <v>2486</v>
      </c>
      <c r="AX217" s="41">
        <f t="shared" si="196"/>
        <v>0</v>
      </c>
      <c r="AY217" s="41">
        <f t="shared" si="197"/>
        <v>0</v>
      </c>
      <c r="AZ217" s="41">
        <v>0</v>
      </c>
      <c r="BA217" s="41">
        <f t="shared" si="198"/>
        <v>0</v>
      </c>
      <c r="BC217" s="21">
        <f t="shared" si="199"/>
        <v>0</v>
      </c>
      <c r="BD217" s="21">
        <f t="shared" si="200"/>
        <v>0</v>
      </c>
      <c r="BE217" s="21">
        <f t="shared" si="201"/>
        <v>0</v>
      </c>
      <c r="BF217" s="21" t="s">
        <v>2492</v>
      </c>
      <c r="BG217" s="41">
        <v>728</v>
      </c>
    </row>
    <row r="218" spans="1:59" x14ac:dyDescent="0.3">
      <c r="A218" s="4" t="s">
        <v>202</v>
      </c>
      <c r="B218" s="13"/>
      <c r="C218" s="13" t="s">
        <v>1136</v>
      </c>
      <c r="D218" s="101" t="s">
        <v>1823</v>
      </c>
      <c r="E218" s="102"/>
      <c r="F218" s="13" t="s">
        <v>2384</v>
      </c>
      <c r="G218" s="21">
        <v>1</v>
      </c>
      <c r="H218" s="21">
        <v>0</v>
      </c>
      <c r="I218" s="21">
        <f t="shared" si="176"/>
        <v>0</v>
      </c>
      <c r="J218" s="21">
        <f t="shared" si="177"/>
        <v>0</v>
      </c>
      <c r="K218" s="21">
        <f t="shared" si="178"/>
        <v>0</v>
      </c>
      <c r="L218" s="21">
        <v>0</v>
      </c>
      <c r="M218" s="21">
        <f t="shared" si="179"/>
        <v>0</v>
      </c>
      <c r="N218" s="35"/>
      <c r="O218" s="39"/>
      <c r="U218" s="41">
        <f t="shared" si="180"/>
        <v>0</v>
      </c>
      <c r="W218" s="41">
        <f t="shared" si="181"/>
        <v>0</v>
      </c>
      <c r="X218" s="41">
        <f t="shared" si="182"/>
        <v>0</v>
      </c>
      <c r="Y218" s="41">
        <f t="shared" si="183"/>
        <v>0</v>
      </c>
      <c r="Z218" s="41">
        <f t="shared" si="184"/>
        <v>0</v>
      </c>
      <c r="AA218" s="41">
        <f t="shared" si="185"/>
        <v>0</v>
      </c>
      <c r="AB218" s="41">
        <f t="shared" si="186"/>
        <v>0</v>
      </c>
      <c r="AC218" s="41">
        <f t="shared" si="187"/>
        <v>0</v>
      </c>
      <c r="AD218" s="31"/>
      <c r="AE218" s="21">
        <f t="shared" si="188"/>
        <v>0</v>
      </c>
      <c r="AF218" s="21">
        <f t="shared" si="189"/>
        <v>0</v>
      </c>
      <c r="AG218" s="21">
        <f t="shared" si="190"/>
        <v>0</v>
      </c>
      <c r="AI218" s="41">
        <v>21</v>
      </c>
      <c r="AJ218" s="41">
        <f t="shared" si="191"/>
        <v>0</v>
      </c>
      <c r="AK218" s="41">
        <f t="shared" si="192"/>
        <v>0</v>
      </c>
      <c r="AL218" s="42" t="s">
        <v>13</v>
      </c>
      <c r="AQ218" s="41">
        <f t="shared" si="193"/>
        <v>0</v>
      </c>
      <c r="AR218" s="41">
        <f t="shared" si="194"/>
        <v>0</v>
      </c>
      <c r="AS218" s="41">
        <f t="shared" si="195"/>
        <v>0</v>
      </c>
      <c r="AT218" s="44" t="s">
        <v>2438</v>
      </c>
      <c r="AU218" s="44" t="s">
        <v>2480</v>
      </c>
      <c r="AV218" s="31" t="s">
        <v>2486</v>
      </c>
      <c r="AX218" s="41">
        <f t="shared" si="196"/>
        <v>0</v>
      </c>
      <c r="AY218" s="41">
        <f t="shared" si="197"/>
        <v>0</v>
      </c>
      <c r="AZ218" s="41">
        <v>0</v>
      </c>
      <c r="BA218" s="41">
        <f t="shared" si="198"/>
        <v>0</v>
      </c>
      <c r="BC218" s="21">
        <f t="shared" si="199"/>
        <v>0</v>
      </c>
      <c r="BD218" s="21">
        <f t="shared" si="200"/>
        <v>0</v>
      </c>
      <c r="BE218" s="21">
        <f t="shared" si="201"/>
        <v>0</v>
      </c>
      <c r="BF218" s="21" t="s">
        <v>2492</v>
      </c>
      <c r="BG218" s="41">
        <v>728</v>
      </c>
    </row>
    <row r="219" spans="1:59" x14ac:dyDescent="0.3">
      <c r="A219" s="4" t="s">
        <v>203</v>
      </c>
      <c r="B219" s="13"/>
      <c r="C219" s="13" t="s">
        <v>1136</v>
      </c>
      <c r="D219" s="101" t="s">
        <v>1824</v>
      </c>
      <c r="E219" s="102"/>
      <c r="F219" s="13" t="s">
        <v>2384</v>
      </c>
      <c r="G219" s="21">
        <v>2</v>
      </c>
      <c r="H219" s="21">
        <v>0</v>
      </c>
      <c r="I219" s="21">
        <f t="shared" si="176"/>
        <v>0</v>
      </c>
      <c r="J219" s="21">
        <f t="shared" si="177"/>
        <v>0</v>
      </c>
      <c r="K219" s="21">
        <f t="shared" si="178"/>
        <v>0</v>
      </c>
      <c r="L219" s="21">
        <v>0</v>
      </c>
      <c r="M219" s="21">
        <f t="shared" si="179"/>
        <v>0</v>
      </c>
      <c r="N219" s="35"/>
      <c r="O219" s="39"/>
      <c r="U219" s="41">
        <f t="shared" si="180"/>
        <v>0</v>
      </c>
      <c r="W219" s="41">
        <f t="shared" si="181"/>
        <v>0</v>
      </c>
      <c r="X219" s="41">
        <f t="shared" si="182"/>
        <v>0</v>
      </c>
      <c r="Y219" s="41">
        <f t="shared" si="183"/>
        <v>0</v>
      </c>
      <c r="Z219" s="41">
        <f t="shared" si="184"/>
        <v>0</v>
      </c>
      <c r="AA219" s="41">
        <f t="shared" si="185"/>
        <v>0</v>
      </c>
      <c r="AB219" s="41">
        <f t="shared" si="186"/>
        <v>0</v>
      </c>
      <c r="AC219" s="41">
        <f t="shared" si="187"/>
        <v>0</v>
      </c>
      <c r="AD219" s="31"/>
      <c r="AE219" s="21">
        <f t="shared" si="188"/>
        <v>0</v>
      </c>
      <c r="AF219" s="21">
        <f t="shared" si="189"/>
        <v>0</v>
      </c>
      <c r="AG219" s="21">
        <f t="shared" si="190"/>
        <v>0</v>
      </c>
      <c r="AI219" s="41">
        <v>21</v>
      </c>
      <c r="AJ219" s="41">
        <f t="shared" si="191"/>
        <v>0</v>
      </c>
      <c r="AK219" s="41">
        <f t="shared" si="192"/>
        <v>0</v>
      </c>
      <c r="AL219" s="42" t="s">
        <v>13</v>
      </c>
      <c r="AQ219" s="41">
        <f t="shared" si="193"/>
        <v>0</v>
      </c>
      <c r="AR219" s="41">
        <f t="shared" si="194"/>
        <v>0</v>
      </c>
      <c r="AS219" s="41">
        <f t="shared" si="195"/>
        <v>0</v>
      </c>
      <c r="AT219" s="44" t="s">
        <v>2438</v>
      </c>
      <c r="AU219" s="44" t="s">
        <v>2480</v>
      </c>
      <c r="AV219" s="31" t="s">
        <v>2486</v>
      </c>
      <c r="AX219" s="41">
        <f t="shared" si="196"/>
        <v>0</v>
      </c>
      <c r="AY219" s="41">
        <f t="shared" si="197"/>
        <v>0</v>
      </c>
      <c r="AZ219" s="41">
        <v>0</v>
      </c>
      <c r="BA219" s="41">
        <f t="shared" si="198"/>
        <v>0</v>
      </c>
      <c r="BC219" s="21">
        <f t="shared" si="199"/>
        <v>0</v>
      </c>
      <c r="BD219" s="21">
        <f t="shared" si="200"/>
        <v>0</v>
      </c>
      <c r="BE219" s="21">
        <f t="shared" si="201"/>
        <v>0</v>
      </c>
      <c r="BF219" s="21" t="s">
        <v>2492</v>
      </c>
      <c r="BG219" s="41">
        <v>728</v>
      </c>
    </row>
    <row r="220" spans="1:59" x14ac:dyDescent="0.3">
      <c r="A220" s="4" t="s">
        <v>204</v>
      </c>
      <c r="B220" s="13"/>
      <c r="C220" s="13" t="s">
        <v>1136</v>
      </c>
      <c r="D220" s="101" t="s">
        <v>1825</v>
      </c>
      <c r="E220" s="102"/>
      <c r="F220" s="13" t="s">
        <v>2384</v>
      </c>
      <c r="G220" s="21">
        <v>2</v>
      </c>
      <c r="H220" s="21">
        <v>0</v>
      </c>
      <c r="I220" s="21">
        <f t="shared" si="176"/>
        <v>0</v>
      </c>
      <c r="J220" s="21">
        <f t="shared" si="177"/>
        <v>0</v>
      </c>
      <c r="K220" s="21">
        <f t="shared" si="178"/>
        <v>0</v>
      </c>
      <c r="L220" s="21">
        <v>0</v>
      </c>
      <c r="M220" s="21">
        <f t="shared" si="179"/>
        <v>0</v>
      </c>
      <c r="N220" s="35"/>
      <c r="O220" s="39"/>
      <c r="U220" s="41">
        <f t="shared" si="180"/>
        <v>0</v>
      </c>
      <c r="W220" s="41">
        <f t="shared" si="181"/>
        <v>0</v>
      </c>
      <c r="X220" s="41">
        <f t="shared" si="182"/>
        <v>0</v>
      </c>
      <c r="Y220" s="41">
        <f t="shared" si="183"/>
        <v>0</v>
      </c>
      <c r="Z220" s="41">
        <f t="shared" si="184"/>
        <v>0</v>
      </c>
      <c r="AA220" s="41">
        <f t="shared" si="185"/>
        <v>0</v>
      </c>
      <c r="AB220" s="41">
        <f t="shared" si="186"/>
        <v>0</v>
      </c>
      <c r="AC220" s="41">
        <f t="shared" si="187"/>
        <v>0</v>
      </c>
      <c r="AD220" s="31"/>
      <c r="AE220" s="21">
        <f t="shared" si="188"/>
        <v>0</v>
      </c>
      <c r="AF220" s="21">
        <f t="shared" si="189"/>
        <v>0</v>
      </c>
      <c r="AG220" s="21">
        <f t="shared" si="190"/>
        <v>0</v>
      </c>
      <c r="AI220" s="41">
        <v>21</v>
      </c>
      <c r="AJ220" s="41">
        <f t="shared" si="191"/>
        <v>0</v>
      </c>
      <c r="AK220" s="41">
        <f t="shared" si="192"/>
        <v>0</v>
      </c>
      <c r="AL220" s="42" t="s">
        <v>13</v>
      </c>
      <c r="AQ220" s="41">
        <f t="shared" si="193"/>
        <v>0</v>
      </c>
      <c r="AR220" s="41">
        <f t="shared" si="194"/>
        <v>0</v>
      </c>
      <c r="AS220" s="41">
        <f t="shared" si="195"/>
        <v>0</v>
      </c>
      <c r="AT220" s="44" t="s">
        <v>2438</v>
      </c>
      <c r="AU220" s="44" t="s">
        <v>2480</v>
      </c>
      <c r="AV220" s="31" t="s">
        <v>2486</v>
      </c>
      <c r="AX220" s="41">
        <f t="shared" si="196"/>
        <v>0</v>
      </c>
      <c r="AY220" s="41">
        <f t="shared" si="197"/>
        <v>0</v>
      </c>
      <c r="AZ220" s="41">
        <v>0</v>
      </c>
      <c r="BA220" s="41">
        <f t="shared" si="198"/>
        <v>0</v>
      </c>
      <c r="BC220" s="21">
        <f t="shared" si="199"/>
        <v>0</v>
      </c>
      <c r="BD220" s="21">
        <f t="shared" si="200"/>
        <v>0</v>
      </c>
      <c r="BE220" s="21">
        <f t="shared" si="201"/>
        <v>0</v>
      </c>
      <c r="BF220" s="21" t="s">
        <v>2492</v>
      </c>
      <c r="BG220" s="41">
        <v>728</v>
      </c>
    </row>
    <row r="221" spans="1:59" x14ac:dyDescent="0.3">
      <c r="A221" s="4" t="s">
        <v>205</v>
      </c>
      <c r="B221" s="13"/>
      <c r="C221" s="13" t="s">
        <v>1136</v>
      </c>
      <c r="D221" s="101" t="s">
        <v>1823</v>
      </c>
      <c r="E221" s="102"/>
      <c r="F221" s="13" t="s">
        <v>2384</v>
      </c>
      <c r="G221" s="21">
        <v>1</v>
      </c>
      <c r="H221" s="21">
        <v>0</v>
      </c>
      <c r="I221" s="21">
        <f t="shared" si="176"/>
        <v>0</v>
      </c>
      <c r="J221" s="21">
        <f t="shared" si="177"/>
        <v>0</v>
      </c>
      <c r="K221" s="21">
        <f t="shared" si="178"/>
        <v>0</v>
      </c>
      <c r="L221" s="21">
        <v>0</v>
      </c>
      <c r="M221" s="21">
        <f t="shared" si="179"/>
        <v>0</v>
      </c>
      <c r="N221" s="35"/>
      <c r="O221" s="39"/>
      <c r="U221" s="41">
        <f t="shared" si="180"/>
        <v>0</v>
      </c>
      <c r="W221" s="41">
        <f t="shared" si="181"/>
        <v>0</v>
      </c>
      <c r="X221" s="41">
        <f t="shared" si="182"/>
        <v>0</v>
      </c>
      <c r="Y221" s="41">
        <f t="shared" si="183"/>
        <v>0</v>
      </c>
      <c r="Z221" s="41">
        <f t="shared" si="184"/>
        <v>0</v>
      </c>
      <c r="AA221" s="41">
        <f t="shared" si="185"/>
        <v>0</v>
      </c>
      <c r="AB221" s="41">
        <f t="shared" si="186"/>
        <v>0</v>
      </c>
      <c r="AC221" s="41">
        <f t="shared" si="187"/>
        <v>0</v>
      </c>
      <c r="AD221" s="31"/>
      <c r="AE221" s="21">
        <f t="shared" si="188"/>
        <v>0</v>
      </c>
      <c r="AF221" s="21">
        <f t="shared" si="189"/>
        <v>0</v>
      </c>
      <c r="AG221" s="21">
        <f t="shared" si="190"/>
        <v>0</v>
      </c>
      <c r="AI221" s="41">
        <v>21</v>
      </c>
      <c r="AJ221" s="41">
        <f t="shared" si="191"/>
        <v>0</v>
      </c>
      <c r="AK221" s="41">
        <f t="shared" si="192"/>
        <v>0</v>
      </c>
      <c r="AL221" s="42" t="s">
        <v>13</v>
      </c>
      <c r="AQ221" s="41">
        <f t="shared" si="193"/>
        <v>0</v>
      </c>
      <c r="AR221" s="41">
        <f t="shared" si="194"/>
        <v>0</v>
      </c>
      <c r="AS221" s="41">
        <f t="shared" si="195"/>
        <v>0</v>
      </c>
      <c r="AT221" s="44" t="s">
        <v>2438</v>
      </c>
      <c r="AU221" s="44" t="s">
        <v>2480</v>
      </c>
      <c r="AV221" s="31" t="s">
        <v>2486</v>
      </c>
      <c r="AX221" s="41">
        <f t="shared" si="196"/>
        <v>0</v>
      </c>
      <c r="AY221" s="41">
        <f t="shared" si="197"/>
        <v>0</v>
      </c>
      <c r="AZ221" s="41">
        <v>0</v>
      </c>
      <c r="BA221" s="41">
        <f t="shared" si="198"/>
        <v>0</v>
      </c>
      <c r="BC221" s="21">
        <f t="shared" si="199"/>
        <v>0</v>
      </c>
      <c r="BD221" s="21">
        <f t="shared" si="200"/>
        <v>0</v>
      </c>
      <c r="BE221" s="21">
        <f t="shared" si="201"/>
        <v>0</v>
      </c>
      <c r="BF221" s="21" t="s">
        <v>2492</v>
      </c>
      <c r="BG221" s="41">
        <v>728</v>
      </c>
    </row>
    <row r="222" spans="1:59" x14ac:dyDescent="0.3">
      <c r="A222" s="4" t="s">
        <v>206</v>
      </c>
      <c r="B222" s="13"/>
      <c r="C222" s="13" t="s">
        <v>1136</v>
      </c>
      <c r="D222" s="101" t="s">
        <v>1826</v>
      </c>
      <c r="E222" s="102"/>
      <c r="F222" s="13" t="s">
        <v>2384</v>
      </c>
      <c r="G222" s="21">
        <v>1</v>
      </c>
      <c r="H222" s="21">
        <v>0</v>
      </c>
      <c r="I222" s="21">
        <f t="shared" si="176"/>
        <v>0</v>
      </c>
      <c r="J222" s="21">
        <f t="shared" si="177"/>
        <v>0</v>
      </c>
      <c r="K222" s="21">
        <f t="shared" si="178"/>
        <v>0</v>
      </c>
      <c r="L222" s="21">
        <v>0</v>
      </c>
      <c r="M222" s="21">
        <f t="shared" si="179"/>
        <v>0</v>
      </c>
      <c r="N222" s="35"/>
      <c r="O222" s="39"/>
      <c r="U222" s="41">
        <f t="shared" si="180"/>
        <v>0</v>
      </c>
      <c r="W222" s="41">
        <f t="shared" si="181"/>
        <v>0</v>
      </c>
      <c r="X222" s="41">
        <f t="shared" si="182"/>
        <v>0</v>
      </c>
      <c r="Y222" s="41">
        <f t="shared" si="183"/>
        <v>0</v>
      </c>
      <c r="Z222" s="41">
        <f t="shared" si="184"/>
        <v>0</v>
      </c>
      <c r="AA222" s="41">
        <f t="shared" si="185"/>
        <v>0</v>
      </c>
      <c r="AB222" s="41">
        <f t="shared" si="186"/>
        <v>0</v>
      </c>
      <c r="AC222" s="41">
        <f t="shared" si="187"/>
        <v>0</v>
      </c>
      <c r="AD222" s="31"/>
      <c r="AE222" s="21">
        <f t="shared" si="188"/>
        <v>0</v>
      </c>
      <c r="AF222" s="21">
        <f t="shared" si="189"/>
        <v>0</v>
      </c>
      <c r="AG222" s="21">
        <f t="shared" si="190"/>
        <v>0</v>
      </c>
      <c r="AI222" s="41">
        <v>21</v>
      </c>
      <c r="AJ222" s="41">
        <f t="shared" si="191"/>
        <v>0</v>
      </c>
      <c r="AK222" s="41">
        <f t="shared" si="192"/>
        <v>0</v>
      </c>
      <c r="AL222" s="42" t="s">
        <v>13</v>
      </c>
      <c r="AQ222" s="41">
        <f t="shared" si="193"/>
        <v>0</v>
      </c>
      <c r="AR222" s="41">
        <f t="shared" si="194"/>
        <v>0</v>
      </c>
      <c r="AS222" s="41">
        <f t="shared" si="195"/>
        <v>0</v>
      </c>
      <c r="AT222" s="44" t="s">
        <v>2438</v>
      </c>
      <c r="AU222" s="44" t="s">
        <v>2480</v>
      </c>
      <c r="AV222" s="31" t="s">
        <v>2486</v>
      </c>
      <c r="AX222" s="41">
        <f t="shared" si="196"/>
        <v>0</v>
      </c>
      <c r="AY222" s="41">
        <f t="shared" si="197"/>
        <v>0</v>
      </c>
      <c r="AZ222" s="41">
        <v>0</v>
      </c>
      <c r="BA222" s="41">
        <f t="shared" si="198"/>
        <v>0</v>
      </c>
      <c r="BC222" s="21">
        <f t="shared" si="199"/>
        <v>0</v>
      </c>
      <c r="BD222" s="21">
        <f t="shared" si="200"/>
        <v>0</v>
      </c>
      <c r="BE222" s="21">
        <f t="shared" si="201"/>
        <v>0</v>
      </c>
      <c r="BF222" s="21" t="s">
        <v>2492</v>
      </c>
      <c r="BG222" s="41">
        <v>728</v>
      </c>
    </row>
    <row r="223" spans="1:59" x14ac:dyDescent="0.3">
      <c r="A223" s="4" t="s">
        <v>207</v>
      </c>
      <c r="B223" s="13"/>
      <c r="C223" s="13" t="s">
        <v>1136</v>
      </c>
      <c r="D223" s="101" t="s">
        <v>1827</v>
      </c>
      <c r="E223" s="102"/>
      <c r="F223" s="13" t="s">
        <v>2384</v>
      </c>
      <c r="G223" s="21">
        <v>1</v>
      </c>
      <c r="H223" s="21">
        <v>0</v>
      </c>
      <c r="I223" s="21">
        <f t="shared" si="176"/>
        <v>0</v>
      </c>
      <c r="J223" s="21">
        <f t="shared" si="177"/>
        <v>0</v>
      </c>
      <c r="K223" s="21">
        <f t="shared" si="178"/>
        <v>0</v>
      </c>
      <c r="L223" s="21">
        <v>0</v>
      </c>
      <c r="M223" s="21">
        <f t="shared" si="179"/>
        <v>0</v>
      </c>
      <c r="N223" s="35"/>
      <c r="O223" s="39"/>
      <c r="U223" s="41">
        <f t="shared" si="180"/>
        <v>0</v>
      </c>
      <c r="W223" s="41">
        <f t="shared" si="181"/>
        <v>0</v>
      </c>
      <c r="X223" s="41">
        <f t="shared" si="182"/>
        <v>0</v>
      </c>
      <c r="Y223" s="41">
        <f t="shared" si="183"/>
        <v>0</v>
      </c>
      <c r="Z223" s="41">
        <f t="shared" si="184"/>
        <v>0</v>
      </c>
      <c r="AA223" s="41">
        <f t="shared" si="185"/>
        <v>0</v>
      </c>
      <c r="AB223" s="41">
        <f t="shared" si="186"/>
        <v>0</v>
      </c>
      <c r="AC223" s="41">
        <f t="shared" si="187"/>
        <v>0</v>
      </c>
      <c r="AD223" s="31"/>
      <c r="AE223" s="21">
        <f t="shared" si="188"/>
        <v>0</v>
      </c>
      <c r="AF223" s="21">
        <f t="shared" si="189"/>
        <v>0</v>
      </c>
      <c r="AG223" s="21">
        <f t="shared" si="190"/>
        <v>0</v>
      </c>
      <c r="AI223" s="41">
        <v>21</v>
      </c>
      <c r="AJ223" s="41">
        <f t="shared" si="191"/>
        <v>0</v>
      </c>
      <c r="AK223" s="41">
        <f t="shared" si="192"/>
        <v>0</v>
      </c>
      <c r="AL223" s="42" t="s">
        <v>13</v>
      </c>
      <c r="AQ223" s="41">
        <f t="shared" si="193"/>
        <v>0</v>
      </c>
      <c r="AR223" s="41">
        <f t="shared" si="194"/>
        <v>0</v>
      </c>
      <c r="AS223" s="41">
        <f t="shared" si="195"/>
        <v>0</v>
      </c>
      <c r="AT223" s="44" t="s">
        <v>2438</v>
      </c>
      <c r="AU223" s="44" t="s">
        <v>2480</v>
      </c>
      <c r="AV223" s="31" t="s">
        <v>2486</v>
      </c>
      <c r="AX223" s="41">
        <f t="shared" si="196"/>
        <v>0</v>
      </c>
      <c r="AY223" s="41">
        <f t="shared" si="197"/>
        <v>0</v>
      </c>
      <c r="AZ223" s="41">
        <v>0</v>
      </c>
      <c r="BA223" s="41">
        <f t="shared" si="198"/>
        <v>0</v>
      </c>
      <c r="BC223" s="21">
        <f t="shared" si="199"/>
        <v>0</v>
      </c>
      <c r="BD223" s="21">
        <f t="shared" si="200"/>
        <v>0</v>
      </c>
      <c r="BE223" s="21">
        <f t="shared" si="201"/>
        <v>0</v>
      </c>
      <c r="BF223" s="21" t="s">
        <v>2492</v>
      </c>
      <c r="BG223" s="41">
        <v>728</v>
      </c>
    </row>
    <row r="224" spans="1:59" x14ac:dyDescent="0.3">
      <c r="A224" s="4" t="s">
        <v>208</v>
      </c>
      <c r="B224" s="13"/>
      <c r="C224" s="13" t="s">
        <v>1136</v>
      </c>
      <c r="D224" s="101" t="s">
        <v>1828</v>
      </c>
      <c r="E224" s="102"/>
      <c r="F224" s="13" t="s">
        <v>2384</v>
      </c>
      <c r="G224" s="21">
        <v>1</v>
      </c>
      <c r="H224" s="21">
        <v>0</v>
      </c>
      <c r="I224" s="21">
        <f t="shared" ref="I224:I255" si="202">G224*AJ224</f>
        <v>0</v>
      </c>
      <c r="J224" s="21">
        <f t="shared" ref="J224:J255" si="203">G224*AK224</f>
        <v>0</v>
      </c>
      <c r="K224" s="21">
        <f t="shared" ref="K224:K255" si="204">G224*H224</f>
        <v>0</v>
      </c>
      <c r="L224" s="21">
        <v>0</v>
      </c>
      <c r="M224" s="21">
        <f t="shared" ref="M224:M255" si="205">G224*L224</f>
        <v>0</v>
      </c>
      <c r="N224" s="35"/>
      <c r="O224" s="39"/>
      <c r="U224" s="41">
        <f t="shared" ref="U224:U255" si="206">IF(AL224="5",BE224,0)</f>
        <v>0</v>
      </c>
      <c r="W224" s="41">
        <f t="shared" ref="W224:W255" si="207">IF(AL224="1",BC224,0)</f>
        <v>0</v>
      </c>
      <c r="X224" s="41">
        <f t="shared" ref="X224:X255" si="208">IF(AL224="1",BD224,0)</f>
        <v>0</v>
      </c>
      <c r="Y224" s="41">
        <f t="shared" ref="Y224:Y255" si="209">IF(AL224="7",BC224,0)</f>
        <v>0</v>
      </c>
      <c r="Z224" s="41">
        <f t="shared" ref="Z224:Z255" si="210">IF(AL224="7",BD224,0)</f>
        <v>0</v>
      </c>
      <c r="AA224" s="41">
        <f t="shared" ref="AA224:AA255" si="211">IF(AL224="2",BC224,0)</f>
        <v>0</v>
      </c>
      <c r="AB224" s="41">
        <f t="shared" ref="AB224:AB255" si="212">IF(AL224="2",BD224,0)</f>
        <v>0</v>
      </c>
      <c r="AC224" s="41">
        <f t="shared" ref="AC224:AC255" si="213">IF(AL224="0",BE224,0)</f>
        <v>0</v>
      </c>
      <c r="AD224" s="31"/>
      <c r="AE224" s="21">
        <f t="shared" ref="AE224:AE255" si="214">IF(AI224=0,K224,0)</f>
        <v>0</v>
      </c>
      <c r="AF224" s="21">
        <f t="shared" ref="AF224:AF255" si="215">IF(AI224=15,K224,0)</f>
        <v>0</v>
      </c>
      <c r="AG224" s="21">
        <f t="shared" ref="AG224:AG255" si="216">IF(AI224=21,K224,0)</f>
        <v>0</v>
      </c>
      <c r="AI224" s="41">
        <v>21</v>
      </c>
      <c r="AJ224" s="41">
        <f t="shared" ref="AJ224:AJ255" si="217">H224*0</f>
        <v>0</v>
      </c>
      <c r="AK224" s="41">
        <f t="shared" ref="AK224:AK255" si="218">H224*(1-0)</f>
        <v>0</v>
      </c>
      <c r="AL224" s="42" t="s">
        <v>13</v>
      </c>
      <c r="AQ224" s="41">
        <f t="shared" ref="AQ224:AQ255" si="219">AR224+AS224</f>
        <v>0</v>
      </c>
      <c r="AR224" s="41">
        <f t="shared" ref="AR224:AR255" si="220">G224*AJ224</f>
        <v>0</v>
      </c>
      <c r="AS224" s="41">
        <f t="shared" ref="AS224:AS255" si="221">G224*AK224</f>
        <v>0</v>
      </c>
      <c r="AT224" s="44" t="s">
        <v>2438</v>
      </c>
      <c r="AU224" s="44" t="s">
        <v>2480</v>
      </c>
      <c r="AV224" s="31" t="s">
        <v>2486</v>
      </c>
      <c r="AX224" s="41">
        <f t="shared" ref="AX224:AX255" si="222">AR224+AS224</f>
        <v>0</v>
      </c>
      <c r="AY224" s="41">
        <f t="shared" ref="AY224:AY255" si="223">H224/(100-AZ224)*100</f>
        <v>0</v>
      </c>
      <c r="AZ224" s="41">
        <v>0</v>
      </c>
      <c r="BA224" s="41">
        <f t="shared" ref="BA224:BA255" si="224">M224</f>
        <v>0</v>
      </c>
      <c r="BC224" s="21">
        <f t="shared" ref="BC224:BC255" si="225">G224*AJ224</f>
        <v>0</v>
      </c>
      <c r="BD224" s="21">
        <f t="shared" ref="BD224:BD255" si="226">G224*AK224</f>
        <v>0</v>
      </c>
      <c r="BE224" s="21">
        <f t="shared" ref="BE224:BE255" si="227">G224*H224</f>
        <v>0</v>
      </c>
      <c r="BF224" s="21" t="s">
        <v>2492</v>
      </c>
      <c r="BG224" s="41">
        <v>728</v>
      </c>
    </row>
    <row r="225" spans="1:59" x14ac:dyDescent="0.3">
      <c r="A225" s="4" t="s">
        <v>209</v>
      </c>
      <c r="B225" s="13"/>
      <c r="C225" s="13" t="s">
        <v>1136</v>
      </c>
      <c r="D225" s="101" t="s">
        <v>1829</v>
      </c>
      <c r="E225" s="102"/>
      <c r="F225" s="13" t="s">
        <v>2384</v>
      </c>
      <c r="G225" s="21">
        <v>1</v>
      </c>
      <c r="H225" s="21">
        <v>0</v>
      </c>
      <c r="I225" s="21">
        <f t="shared" si="202"/>
        <v>0</v>
      </c>
      <c r="J225" s="21">
        <f t="shared" si="203"/>
        <v>0</v>
      </c>
      <c r="K225" s="21">
        <f t="shared" si="204"/>
        <v>0</v>
      </c>
      <c r="L225" s="21">
        <v>0</v>
      </c>
      <c r="M225" s="21">
        <f t="shared" si="205"/>
        <v>0</v>
      </c>
      <c r="N225" s="35"/>
      <c r="O225" s="39"/>
      <c r="U225" s="41">
        <f t="shared" si="206"/>
        <v>0</v>
      </c>
      <c r="W225" s="41">
        <f t="shared" si="207"/>
        <v>0</v>
      </c>
      <c r="X225" s="41">
        <f t="shared" si="208"/>
        <v>0</v>
      </c>
      <c r="Y225" s="41">
        <f t="shared" si="209"/>
        <v>0</v>
      </c>
      <c r="Z225" s="41">
        <f t="shared" si="210"/>
        <v>0</v>
      </c>
      <c r="AA225" s="41">
        <f t="shared" si="211"/>
        <v>0</v>
      </c>
      <c r="AB225" s="41">
        <f t="shared" si="212"/>
        <v>0</v>
      </c>
      <c r="AC225" s="41">
        <f t="shared" si="213"/>
        <v>0</v>
      </c>
      <c r="AD225" s="31"/>
      <c r="AE225" s="21">
        <f t="shared" si="214"/>
        <v>0</v>
      </c>
      <c r="AF225" s="21">
        <f t="shared" si="215"/>
        <v>0</v>
      </c>
      <c r="AG225" s="21">
        <f t="shared" si="216"/>
        <v>0</v>
      </c>
      <c r="AI225" s="41">
        <v>21</v>
      </c>
      <c r="AJ225" s="41">
        <f t="shared" si="217"/>
        <v>0</v>
      </c>
      <c r="AK225" s="41">
        <f t="shared" si="218"/>
        <v>0</v>
      </c>
      <c r="AL225" s="42" t="s">
        <v>13</v>
      </c>
      <c r="AQ225" s="41">
        <f t="shared" si="219"/>
        <v>0</v>
      </c>
      <c r="AR225" s="41">
        <f t="shared" si="220"/>
        <v>0</v>
      </c>
      <c r="AS225" s="41">
        <f t="shared" si="221"/>
        <v>0</v>
      </c>
      <c r="AT225" s="44" t="s">
        <v>2438</v>
      </c>
      <c r="AU225" s="44" t="s">
        <v>2480</v>
      </c>
      <c r="AV225" s="31" t="s">
        <v>2486</v>
      </c>
      <c r="AX225" s="41">
        <f t="shared" si="222"/>
        <v>0</v>
      </c>
      <c r="AY225" s="41">
        <f t="shared" si="223"/>
        <v>0</v>
      </c>
      <c r="AZ225" s="41">
        <v>0</v>
      </c>
      <c r="BA225" s="41">
        <f t="shared" si="224"/>
        <v>0</v>
      </c>
      <c r="BC225" s="21">
        <f t="shared" si="225"/>
        <v>0</v>
      </c>
      <c r="BD225" s="21">
        <f t="shared" si="226"/>
        <v>0</v>
      </c>
      <c r="BE225" s="21">
        <f t="shared" si="227"/>
        <v>0</v>
      </c>
      <c r="BF225" s="21" t="s">
        <v>2492</v>
      </c>
      <c r="BG225" s="41">
        <v>728</v>
      </c>
    </row>
    <row r="226" spans="1:59" x14ac:dyDescent="0.3">
      <c r="A226" s="4" t="s">
        <v>210</v>
      </c>
      <c r="B226" s="13"/>
      <c r="C226" s="13" t="s">
        <v>1136</v>
      </c>
      <c r="D226" s="101" t="s">
        <v>1830</v>
      </c>
      <c r="E226" s="102"/>
      <c r="F226" s="13" t="s">
        <v>2387</v>
      </c>
      <c r="G226" s="21">
        <v>48</v>
      </c>
      <c r="H226" s="21">
        <v>0</v>
      </c>
      <c r="I226" s="21">
        <f t="shared" si="202"/>
        <v>0</v>
      </c>
      <c r="J226" s="21">
        <f t="shared" si="203"/>
        <v>0</v>
      </c>
      <c r="K226" s="21">
        <f t="shared" si="204"/>
        <v>0</v>
      </c>
      <c r="L226" s="21">
        <v>0</v>
      </c>
      <c r="M226" s="21">
        <f t="shared" si="205"/>
        <v>0</v>
      </c>
      <c r="N226" s="35"/>
      <c r="O226" s="39"/>
      <c r="U226" s="41">
        <f t="shared" si="206"/>
        <v>0</v>
      </c>
      <c r="W226" s="41">
        <f t="shared" si="207"/>
        <v>0</v>
      </c>
      <c r="X226" s="41">
        <f t="shared" si="208"/>
        <v>0</v>
      </c>
      <c r="Y226" s="41">
        <f t="shared" si="209"/>
        <v>0</v>
      </c>
      <c r="Z226" s="41">
        <f t="shared" si="210"/>
        <v>0</v>
      </c>
      <c r="AA226" s="41">
        <f t="shared" si="211"/>
        <v>0</v>
      </c>
      <c r="AB226" s="41">
        <f t="shared" si="212"/>
        <v>0</v>
      </c>
      <c r="AC226" s="41">
        <f t="shared" si="213"/>
        <v>0</v>
      </c>
      <c r="AD226" s="31"/>
      <c r="AE226" s="21">
        <f t="shared" si="214"/>
        <v>0</v>
      </c>
      <c r="AF226" s="21">
        <f t="shared" si="215"/>
        <v>0</v>
      </c>
      <c r="AG226" s="21">
        <f t="shared" si="216"/>
        <v>0</v>
      </c>
      <c r="AI226" s="41">
        <v>21</v>
      </c>
      <c r="AJ226" s="41">
        <f t="shared" si="217"/>
        <v>0</v>
      </c>
      <c r="AK226" s="41">
        <f t="shared" si="218"/>
        <v>0</v>
      </c>
      <c r="AL226" s="42" t="s">
        <v>13</v>
      </c>
      <c r="AQ226" s="41">
        <f t="shared" si="219"/>
        <v>0</v>
      </c>
      <c r="AR226" s="41">
        <f t="shared" si="220"/>
        <v>0</v>
      </c>
      <c r="AS226" s="41">
        <f t="shared" si="221"/>
        <v>0</v>
      </c>
      <c r="AT226" s="44" t="s">
        <v>2438</v>
      </c>
      <c r="AU226" s="44" t="s">
        <v>2480</v>
      </c>
      <c r="AV226" s="31" t="s">
        <v>2486</v>
      </c>
      <c r="AX226" s="41">
        <f t="shared" si="222"/>
        <v>0</v>
      </c>
      <c r="AY226" s="41">
        <f t="shared" si="223"/>
        <v>0</v>
      </c>
      <c r="AZ226" s="41">
        <v>0</v>
      </c>
      <c r="BA226" s="41">
        <f t="shared" si="224"/>
        <v>0</v>
      </c>
      <c r="BC226" s="21">
        <f t="shared" si="225"/>
        <v>0</v>
      </c>
      <c r="BD226" s="21">
        <f t="shared" si="226"/>
        <v>0</v>
      </c>
      <c r="BE226" s="21">
        <f t="shared" si="227"/>
        <v>0</v>
      </c>
      <c r="BF226" s="21" t="s">
        <v>2492</v>
      </c>
      <c r="BG226" s="41">
        <v>728</v>
      </c>
    </row>
    <row r="227" spans="1:59" x14ac:dyDescent="0.3">
      <c r="A227" s="4" t="s">
        <v>211</v>
      </c>
      <c r="B227" s="13"/>
      <c r="C227" s="13" t="s">
        <v>1136</v>
      </c>
      <c r="D227" s="101" t="s">
        <v>1831</v>
      </c>
      <c r="E227" s="102"/>
      <c r="F227" s="13" t="s">
        <v>2394</v>
      </c>
      <c r="G227" s="21">
        <v>12</v>
      </c>
      <c r="H227" s="21">
        <v>0</v>
      </c>
      <c r="I227" s="21">
        <f t="shared" si="202"/>
        <v>0</v>
      </c>
      <c r="J227" s="21">
        <f t="shared" si="203"/>
        <v>0</v>
      </c>
      <c r="K227" s="21">
        <f t="shared" si="204"/>
        <v>0</v>
      </c>
      <c r="L227" s="21">
        <v>0</v>
      </c>
      <c r="M227" s="21">
        <f t="shared" si="205"/>
        <v>0</v>
      </c>
      <c r="N227" s="35"/>
      <c r="O227" s="39"/>
      <c r="U227" s="41">
        <f t="shared" si="206"/>
        <v>0</v>
      </c>
      <c r="W227" s="41">
        <f t="shared" si="207"/>
        <v>0</v>
      </c>
      <c r="X227" s="41">
        <f t="shared" si="208"/>
        <v>0</v>
      </c>
      <c r="Y227" s="41">
        <f t="shared" si="209"/>
        <v>0</v>
      </c>
      <c r="Z227" s="41">
        <f t="shared" si="210"/>
        <v>0</v>
      </c>
      <c r="AA227" s="41">
        <f t="shared" si="211"/>
        <v>0</v>
      </c>
      <c r="AB227" s="41">
        <f t="shared" si="212"/>
        <v>0</v>
      </c>
      <c r="AC227" s="41">
        <f t="shared" si="213"/>
        <v>0</v>
      </c>
      <c r="AD227" s="31"/>
      <c r="AE227" s="21">
        <f t="shared" si="214"/>
        <v>0</v>
      </c>
      <c r="AF227" s="21">
        <f t="shared" si="215"/>
        <v>0</v>
      </c>
      <c r="AG227" s="21">
        <f t="shared" si="216"/>
        <v>0</v>
      </c>
      <c r="AI227" s="41">
        <v>21</v>
      </c>
      <c r="AJ227" s="41">
        <f t="shared" si="217"/>
        <v>0</v>
      </c>
      <c r="AK227" s="41">
        <f t="shared" si="218"/>
        <v>0</v>
      </c>
      <c r="AL227" s="42" t="s">
        <v>13</v>
      </c>
      <c r="AQ227" s="41">
        <f t="shared" si="219"/>
        <v>0</v>
      </c>
      <c r="AR227" s="41">
        <f t="shared" si="220"/>
        <v>0</v>
      </c>
      <c r="AS227" s="41">
        <f t="shared" si="221"/>
        <v>0</v>
      </c>
      <c r="AT227" s="44" t="s">
        <v>2438</v>
      </c>
      <c r="AU227" s="44" t="s">
        <v>2480</v>
      </c>
      <c r="AV227" s="31" t="s">
        <v>2486</v>
      </c>
      <c r="AX227" s="41">
        <f t="shared" si="222"/>
        <v>0</v>
      </c>
      <c r="AY227" s="41">
        <f t="shared" si="223"/>
        <v>0</v>
      </c>
      <c r="AZ227" s="41">
        <v>0</v>
      </c>
      <c r="BA227" s="41">
        <f t="shared" si="224"/>
        <v>0</v>
      </c>
      <c r="BC227" s="21">
        <f t="shared" si="225"/>
        <v>0</v>
      </c>
      <c r="BD227" s="21">
        <f t="shared" si="226"/>
        <v>0</v>
      </c>
      <c r="BE227" s="21">
        <f t="shared" si="227"/>
        <v>0</v>
      </c>
      <c r="BF227" s="21" t="s">
        <v>2492</v>
      </c>
      <c r="BG227" s="41">
        <v>728</v>
      </c>
    </row>
    <row r="228" spans="1:59" x14ac:dyDescent="0.3">
      <c r="A228" s="4" t="s">
        <v>212</v>
      </c>
      <c r="B228" s="13"/>
      <c r="C228" s="13" t="s">
        <v>1136</v>
      </c>
      <c r="D228" s="101" t="s">
        <v>1832</v>
      </c>
      <c r="E228" s="102"/>
      <c r="F228" s="13" t="s">
        <v>2394</v>
      </c>
      <c r="G228" s="21">
        <v>18</v>
      </c>
      <c r="H228" s="21">
        <v>0</v>
      </c>
      <c r="I228" s="21">
        <f t="shared" si="202"/>
        <v>0</v>
      </c>
      <c r="J228" s="21">
        <f t="shared" si="203"/>
        <v>0</v>
      </c>
      <c r="K228" s="21">
        <f t="shared" si="204"/>
        <v>0</v>
      </c>
      <c r="L228" s="21">
        <v>0</v>
      </c>
      <c r="M228" s="21">
        <f t="shared" si="205"/>
        <v>0</v>
      </c>
      <c r="N228" s="35"/>
      <c r="O228" s="39"/>
      <c r="U228" s="41">
        <f t="shared" si="206"/>
        <v>0</v>
      </c>
      <c r="W228" s="41">
        <f t="shared" si="207"/>
        <v>0</v>
      </c>
      <c r="X228" s="41">
        <f t="shared" si="208"/>
        <v>0</v>
      </c>
      <c r="Y228" s="41">
        <f t="shared" si="209"/>
        <v>0</v>
      </c>
      <c r="Z228" s="41">
        <f t="shared" si="210"/>
        <v>0</v>
      </c>
      <c r="AA228" s="41">
        <f t="shared" si="211"/>
        <v>0</v>
      </c>
      <c r="AB228" s="41">
        <f t="shared" si="212"/>
        <v>0</v>
      </c>
      <c r="AC228" s="41">
        <f t="shared" si="213"/>
        <v>0</v>
      </c>
      <c r="AD228" s="31"/>
      <c r="AE228" s="21">
        <f t="shared" si="214"/>
        <v>0</v>
      </c>
      <c r="AF228" s="21">
        <f t="shared" si="215"/>
        <v>0</v>
      </c>
      <c r="AG228" s="21">
        <f t="shared" si="216"/>
        <v>0</v>
      </c>
      <c r="AI228" s="41">
        <v>21</v>
      </c>
      <c r="AJ228" s="41">
        <f t="shared" si="217"/>
        <v>0</v>
      </c>
      <c r="AK228" s="41">
        <f t="shared" si="218"/>
        <v>0</v>
      </c>
      <c r="AL228" s="42" t="s">
        <v>13</v>
      </c>
      <c r="AQ228" s="41">
        <f t="shared" si="219"/>
        <v>0</v>
      </c>
      <c r="AR228" s="41">
        <f t="shared" si="220"/>
        <v>0</v>
      </c>
      <c r="AS228" s="41">
        <f t="shared" si="221"/>
        <v>0</v>
      </c>
      <c r="AT228" s="44" t="s">
        <v>2438</v>
      </c>
      <c r="AU228" s="44" t="s">
        <v>2480</v>
      </c>
      <c r="AV228" s="31" t="s">
        <v>2486</v>
      </c>
      <c r="AX228" s="41">
        <f t="shared" si="222"/>
        <v>0</v>
      </c>
      <c r="AY228" s="41">
        <f t="shared" si="223"/>
        <v>0</v>
      </c>
      <c r="AZ228" s="41">
        <v>0</v>
      </c>
      <c r="BA228" s="41">
        <f t="shared" si="224"/>
        <v>0</v>
      </c>
      <c r="BC228" s="21">
        <f t="shared" si="225"/>
        <v>0</v>
      </c>
      <c r="BD228" s="21">
        <f t="shared" si="226"/>
        <v>0</v>
      </c>
      <c r="BE228" s="21">
        <f t="shared" si="227"/>
        <v>0</v>
      </c>
      <c r="BF228" s="21" t="s">
        <v>2492</v>
      </c>
      <c r="BG228" s="41">
        <v>728</v>
      </c>
    </row>
    <row r="229" spans="1:59" x14ac:dyDescent="0.3">
      <c r="A229" s="4" t="s">
        <v>213</v>
      </c>
      <c r="B229" s="13"/>
      <c r="C229" s="13" t="s">
        <v>1136</v>
      </c>
      <c r="D229" s="101" t="s">
        <v>1833</v>
      </c>
      <c r="E229" s="102"/>
      <c r="F229" s="13" t="s">
        <v>2394</v>
      </c>
      <c r="G229" s="21">
        <v>18</v>
      </c>
      <c r="H229" s="21">
        <v>0</v>
      </c>
      <c r="I229" s="21">
        <f t="shared" si="202"/>
        <v>0</v>
      </c>
      <c r="J229" s="21">
        <f t="shared" si="203"/>
        <v>0</v>
      </c>
      <c r="K229" s="21">
        <f t="shared" si="204"/>
        <v>0</v>
      </c>
      <c r="L229" s="21">
        <v>0</v>
      </c>
      <c r="M229" s="21">
        <f t="shared" si="205"/>
        <v>0</v>
      </c>
      <c r="N229" s="35"/>
      <c r="O229" s="39"/>
      <c r="U229" s="41">
        <f t="shared" si="206"/>
        <v>0</v>
      </c>
      <c r="W229" s="41">
        <f t="shared" si="207"/>
        <v>0</v>
      </c>
      <c r="X229" s="41">
        <f t="shared" si="208"/>
        <v>0</v>
      </c>
      <c r="Y229" s="41">
        <f t="shared" si="209"/>
        <v>0</v>
      </c>
      <c r="Z229" s="41">
        <f t="shared" si="210"/>
        <v>0</v>
      </c>
      <c r="AA229" s="41">
        <f t="shared" si="211"/>
        <v>0</v>
      </c>
      <c r="AB229" s="41">
        <f t="shared" si="212"/>
        <v>0</v>
      </c>
      <c r="AC229" s="41">
        <f t="shared" si="213"/>
        <v>0</v>
      </c>
      <c r="AD229" s="31"/>
      <c r="AE229" s="21">
        <f t="shared" si="214"/>
        <v>0</v>
      </c>
      <c r="AF229" s="21">
        <f t="shared" si="215"/>
        <v>0</v>
      </c>
      <c r="AG229" s="21">
        <f t="shared" si="216"/>
        <v>0</v>
      </c>
      <c r="AI229" s="41">
        <v>21</v>
      </c>
      <c r="AJ229" s="41">
        <f t="shared" si="217"/>
        <v>0</v>
      </c>
      <c r="AK229" s="41">
        <f t="shared" si="218"/>
        <v>0</v>
      </c>
      <c r="AL229" s="42" t="s">
        <v>13</v>
      </c>
      <c r="AQ229" s="41">
        <f t="shared" si="219"/>
        <v>0</v>
      </c>
      <c r="AR229" s="41">
        <f t="shared" si="220"/>
        <v>0</v>
      </c>
      <c r="AS229" s="41">
        <f t="shared" si="221"/>
        <v>0</v>
      </c>
      <c r="AT229" s="44" t="s">
        <v>2438</v>
      </c>
      <c r="AU229" s="44" t="s">
        <v>2480</v>
      </c>
      <c r="AV229" s="31" t="s">
        <v>2486</v>
      </c>
      <c r="AX229" s="41">
        <f t="shared" si="222"/>
        <v>0</v>
      </c>
      <c r="AY229" s="41">
        <f t="shared" si="223"/>
        <v>0</v>
      </c>
      <c r="AZ229" s="41">
        <v>0</v>
      </c>
      <c r="BA229" s="41">
        <f t="shared" si="224"/>
        <v>0</v>
      </c>
      <c r="BC229" s="21">
        <f t="shared" si="225"/>
        <v>0</v>
      </c>
      <c r="BD229" s="21">
        <f t="shared" si="226"/>
        <v>0</v>
      </c>
      <c r="BE229" s="21">
        <f t="shared" si="227"/>
        <v>0</v>
      </c>
      <c r="BF229" s="21" t="s">
        <v>2492</v>
      </c>
      <c r="BG229" s="41">
        <v>728</v>
      </c>
    </row>
    <row r="230" spans="1:59" x14ac:dyDescent="0.3">
      <c r="A230" s="4" t="s">
        <v>214</v>
      </c>
      <c r="B230" s="13"/>
      <c r="C230" s="13" t="s">
        <v>1136</v>
      </c>
      <c r="D230" s="101" t="s">
        <v>1834</v>
      </c>
      <c r="E230" s="102"/>
      <c r="F230" s="13" t="s">
        <v>2394</v>
      </c>
      <c r="G230" s="21">
        <v>15</v>
      </c>
      <c r="H230" s="21">
        <v>0</v>
      </c>
      <c r="I230" s="21">
        <f t="shared" si="202"/>
        <v>0</v>
      </c>
      <c r="J230" s="21">
        <f t="shared" si="203"/>
        <v>0</v>
      </c>
      <c r="K230" s="21">
        <f t="shared" si="204"/>
        <v>0</v>
      </c>
      <c r="L230" s="21">
        <v>0</v>
      </c>
      <c r="M230" s="21">
        <f t="shared" si="205"/>
        <v>0</v>
      </c>
      <c r="N230" s="35"/>
      <c r="O230" s="39"/>
      <c r="U230" s="41">
        <f t="shared" si="206"/>
        <v>0</v>
      </c>
      <c r="W230" s="41">
        <f t="shared" si="207"/>
        <v>0</v>
      </c>
      <c r="X230" s="41">
        <f t="shared" si="208"/>
        <v>0</v>
      </c>
      <c r="Y230" s="41">
        <f t="shared" si="209"/>
        <v>0</v>
      </c>
      <c r="Z230" s="41">
        <f t="shared" si="210"/>
        <v>0</v>
      </c>
      <c r="AA230" s="41">
        <f t="shared" si="211"/>
        <v>0</v>
      </c>
      <c r="AB230" s="41">
        <f t="shared" si="212"/>
        <v>0</v>
      </c>
      <c r="AC230" s="41">
        <f t="shared" si="213"/>
        <v>0</v>
      </c>
      <c r="AD230" s="31"/>
      <c r="AE230" s="21">
        <f t="shared" si="214"/>
        <v>0</v>
      </c>
      <c r="AF230" s="21">
        <f t="shared" si="215"/>
        <v>0</v>
      </c>
      <c r="AG230" s="21">
        <f t="shared" si="216"/>
        <v>0</v>
      </c>
      <c r="AI230" s="41">
        <v>21</v>
      </c>
      <c r="AJ230" s="41">
        <f t="shared" si="217"/>
        <v>0</v>
      </c>
      <c r="AK230" s="41">
        <f t="shared" si="218"/>
        <v>0</v>
      </c>
      <c r="AL230" s="42" t="s">
        <v>13</v>
      </c>
      <c r="AQ230" s="41">
        <f t="shared" si="219"/>
        <v>0</v>
      </c>
      <c r="AR230" s="41">
        <f t="shared" si="220"/>
        <v>0</v>
      </c>
      <c r="AS230" s="41">
        <f t="shared" si="221"/>
        <v>0</v>
      </c>
      <c r="AT230" s="44" t="s">
        <v>2438</v>
      </c>
      <c r="AU230" s="44" t="s">
        <v>2480</v>
      </c>
      <c r="AV230" s="31" t="s">
        <v>2486</v>
      </c>
      <c r="AX230" s="41">
        <f t="shared" si="222"/>
        <v>0</v>
      </c>
      <c r="AY230" s="41">
        <f t="shared" si="223"/>
        <v>0</v>
      </c>
      <c r="AZ230" s="41">
        <v>0</v>
      </c>
      <c r="BA230" s="41">
        <f t="shared" si="224"/>
        <v>0</v>
      </c>
      <c r="BC230" s="21">
        <f t="shared" si="225"/>
        <v>0</v>
      </c>
      <c r="BD230" s="21">
        <f t="shared" si="226"/>
        <v>0</v>
      </c>
      <c r="BE230" s="21">
        <f t="shared" si="227"/>
        <v>0</v>
      </c>
      <c r="BF230" s="21" t="s">
        <v>2492</v>
      </c>
      <c r="BG230" s="41">
        <v>728</v>
      </c>
    </row>
    <row r="231" spans="1:59" x14ac:dyDescent="0.3">
      <c r="A231" s="4" t="s">
        <v>215</v>
      </c>
      <c r="B231" s="13"/>
      <c r="C231" s="13" t="s">
        <v>1136</v>
      </c>
      <c r="D231" s="101" t="s">
        <v>1835</v>
      </c>
      <c r="E231" s="102"/>
      <c r="F231" s="13" t="s">
        <v>2394</v>
      </c>
      <c r="G231" s="21">
        <v>6</v>
      </c>
      <c r="H231" s="21">
        <v>0</v>
      </c>
      <c r="I231" s="21">
        <f t="shared" si="202"/>
        <v>0</v>
      </c>
      <c r="J231" s="21">
        <f t="shared" si="203"/>
        <v>0</v>
      </c>
      <c r="K231" s="21">
        <f t="shared" si="204"/>
        <v>0</v>
      </c>
      <c r="L231" s="21">
        <v>0</v>
      </c>
      <c r="M231" s="21">
        <f t="shared" si="205"/>
        <v>0</v>
      </c>
      <c r="N231" s="35"/>
      <c r="O231" s="39"/>
      <c r="U231" s="41">
        <f t="shared" si="206"/>
        <v>0</v>
      </c>
      <c r="W231" s="41">
        <f t="shared" si="207"/>
        <v>0</v>
      </c>
      <c r="X231" s="41">
        <f t="shared" si="208"/>
        <v>0</v>
      </c>
      <c r="Y231" s="41">
        <f t="shared" si="209"/>
        <v>0</v>
      </c>
      <c r="Z231" s="41">
        <f t="shared" si="210"/>
        <v>0</v>
      </c>
      <c r="AA231" s="41">
        <f t="shared" si="211"/>
        <v>0</v>
      </c>
      <c r="AB231" s="41">
        <f t="shared" si="212"/>
        <v>0</v>
      </c>
      <c r="AC231" s="41">
        <f t="shared" si="213"/>
        <v>0</v>
      </c>
      <c r="AD231" s="31"/>
      <c r="AE231" s="21">
        <f t="shared" si="214"/>
        <v>0</v>
      </c>
      <c r="AF231" s="21">
        <f t="shared" si="215"/>
        <v>0</v>
      </c>
      <c r="AG231" s="21">
        <f t="shared" si="216"/>
        <v>0</v>
      </c>
      <c r="AI231" s="41">
        <v>21</v>
      </c>
      <c r="AJ231" s="41">
        <f t="shared" si="217"/>
        <v>0</v>
      </c>
      <c r="AK231" s="41">
        <f t="shared" si="218"/>
        <v>0</v>
      </c>
      <c r="AL231" s="42" t="s">
        <v>13</v>
      </c>
      <c r="AQ231" s="41">
        <f t="shared" si="219"/>
        <v>0</v>
      </c>
      <c r="AR231" s="41">
        <f t="shared" si="220"/>
        <v>0</v>
      </c>
      <c r="AS231" s="41">
        <f t="shared" si="221"/>
        <v>0</v>
      </c>
      <c r="AT231" s="44" t="s">
        <v>2438</v>
      </c>
      <c r="AU231" s="44" t="s">
        <v>2480</v>
      </c>
      <c r="AV231" s="31" t="s">
        <v>2486</v>
      </c>
      <c r="AX231" s="41">
        <f t="shared" si="222"/>
        <v>0</v>
      </c>
      <c r="AY231" s="41">
        <f t="shared" si="223"/>
        <v>0</v>
      </c>
      <c r="AZ231" s="41">
        <v>0</v>
      </c>
      <c r="BA231" s="41">
        <f t="shared" si="224"/>
        <v>0</v>
      </c>
      <c r="BC231" s="21">
        <f t="shared" si="225"/>
        <v>0</v>
      </c>
      <c r="BD231" s="21">
        <f t="shared" si="226"/>
        <v>0</v>
      </c>
      <c r="BE231" s="21">
        <f t="shared" si="227"/>
        <v>0</v>
      </c>
      <c r="BF231" s="21" t="s">
        <v>2492</v>
      </c>
      <c r="BG231" s="41">
        <v>728</v>
      </c>
    </row>
    <row r="232" spans="1:59" x14ac:dyDescent="0.3">
      <c r="A232" s="4" t="s">
        <v>216</v>
      </c>
      <c r="B232" s="13"/>
      <c r="C232" s="13" t="s">
        <v>1136</v>
      </c>
      <c r="D232" s="101" t="s">
        <v>1836</v>
      </c>
      <c r="E232" s="102"/>
      <c r="F232" s="13" t="s">
        <v>2394</v>
      </c>
      <c r="G232" s="21">
        <v>9</v>
      </c>
      <c r="H232" s="21">
        <v>0</v>
      </c>
      <c r="I232" s="21">
        <f t="shared" si="202"/>
        <v>0</v>
      </c>
      <c r="J232" s="21">
        <f t="shared" si="203"/>
        <v>0</v>
      </c>
      <c r="K232" s="21">
        <f t="shared" si="204"/>
        <v>0</v>
      </c>
      <c r="L232" s="21">
        <v>0</v>
      </c>
      <c r="M232" s="21">
        <f t="shared" si="205"/>
        <v>0</v>
      </c>
      <c r="N232" s="35"/>
      <c r="O232" s="39"/>
      <c r="U232" s="41">
        <f t="shared" si="206"/>
        <v>0</v>
      </c>
      <c r="W232" s="41">
        <f t="shared" si="207"/>
        <v>0</v>
      </c>
      <c r="X232" s="41">
        <f t="shared" si="208"/>
        <v>0</v>
      </c>
      <c r="Y232" s="41">
        <f t="shared" si="209"/>
        <v>0</v>
      </c>
      <c r="Z232" s="41">
        <f t="shared" si="210"/>
        <v>0</v>
      </c>
      <c r="AA232" s="41">
        <f t="shared" si="211"/>
        <v>0</v>
      </c>
      <c r="AB232" s="41">
        <f t="shared" si="212"/>
        <v>0</v>
      </c>
      <c r="AC232" s="41">
        <f t="shared" si="213"/>
        <v>0</v>
      </c>
      <c r="AD232" s="31"/>
      <c r="AE232" s="21">
        <f t="shared" si="214"/>
        <v>0</v>
      </c>
      <c r="AF232" s="21">
        <f t="shared" si="215"/>
        <v>0</v>
      </c>
      <c r="AG232" s="21">
        <f t="shared" si="216"/>
        <v>0</v>
      </c>
      <c r="AI232" s="41">
        <v>21</v>
      </c>
      <c r="AJ232" s="41">
        <f t="shared" si="217"/>
        <v>0</v>
      </c>
      <c r="AK232" s="41">
        <f t="shared" si="218"/>
        <v>0</v>
      </c>
      <c r="AL232" s="42" t="s">
        <v>13</v>
      </c>
      <c r="AQ232" s="41">
        <f t="shared" si="219"/>
        <v>0</v>
      </c>
      <c r="AR232" s="41">
        <f t="shared" si="220"/>
        <v>0</v>
      </c>
      <c r="AS232" s="41">
        <f t="shared" si="221"/>
        <v>0</v>
      </c>
      <c r="AT232" s="44" t="s">
        <v>2438</v>
      </c>
      <c r="AU232" s="44" t="s">
        <v>2480</v>
      </c>
      <c r="AV232" s="31" t="s">
        <v>2486</v>
      </c>
      <c r="AX232" s="41">
        <f t="shared" si="222"/>
        <v>0</v>
      </c>
      <c r="AY232" s="41">
        <f t="shared" si="223"/>
        <v>0</v>
      </c>
      <c r="AZ232" s="41">
        <v>0</v>
      </c>
      <c r="BA232" s="41">
        <f t="shared" si="224"/>
        <v>0</v>
      </c>
      <c r="BC232" s="21">
        <f t="shared" si="225"/>
        <v>0</v>
      </c>
      <c r="BD232" s="21">
        <f t="shared" si="226"/>
        <v>0</v>
      </c>
      <c r="BE232" s="21">
        <f t="shared" si="227"/>
        <v>0</v>
      </c>
      <c r="BF232" s="21" t="s">
        <v>2492</v>
      </c>
      <c r="BG232" s="41">
        <v>728</v>
      </c>
    </row>
    <row r="233" spans="1:59" x14ac:dyDescent="0.3">
      <c r="A233" s="4" t="s">
        <v>217</v>
      </c>
      <c r="B233" s="13"/>
      <c r="C233" s="13" t="s">
        <v>1136</v>
      </c>
      <c r="D233" s="101" t="s">
        <v>1837</v>
      </c>
      <c r="E233" s="102"/>
      <c r="F233" s="13" t="s">
        <v>2394</v>
      </c>
      <c r="G233" s="21">
        <v>16</v>
      </c>
      <c r="H233" s="21">
        <v>0</v>
      </c>
      <c r="I233" s="21">
        <f t="shared" si="202"/>
        <v>0</v>
      </c>
      <c r="J233" s="21">
        <f t="shared" si="203"/>
        <v>0</v>
      </c>
      <c r="K233" s="21">
        <f t="shared" si="204"/>
        <v>0</v>
      </c>
      <c r="L233" s="21">
        <v>0</v>
      </c>
      <c r="M233" s="21">
        <f t="shared" si="205"/>
        <v>0</v>
      </c>
      <c r="N233" s="35"/>
      <c r="O233" s="39"/>
      <c r="U233" s="41">
        <f t="shared" si="206"/>
        <v>0</v>
      </c>
      <c r="W233" s="41">
        <f t="shared" si="207"/>
        <v>0</v>
      </c>
      <c r="X233" s="41">
        <f t="shared" si="208"/>
        <v>0</v>
      </c>
      <c r="Y233" s="41">
        <f t="shared" si="209"/>
        <v>0</v>
      </c>
      <c r="Z233" s="41">
        <f t="shared" si="210"/>
        <v>0</v>
      </c>
      <c r="AA233" s="41">
        <f t="shared" si="211"/>
        <v>0</v>
      </c>
      <c r="AB233" s="41">
        <f t="shared" si="212"/>
        <v>0</v>
      </c>
      <c r="AC233" s="41">
        <f t="shared" si="213"/>
        <v>0</v>
      </c>
      <c r="AD233" s="31"/>
      <c r="AE233" s="21">
        <f t="shared" si="214"/>
        <v>0</v>
      </c>
      <c r="AF233" s="21">
        <f t="shared" si="215"/>
        <v>0</v>
      </c>
      <c r="AG233" s="21">
        <f t="shared" si="216"/>
        <v>0</v>
      </c>
      <c r="AI233" s="41">
        <v>21</v>
      </c>
      <c r="AJ233" s="41">
        <f t="shared" si="217"/>
        <v>0</v>
      </c>
      <c r="AK233" s="41">
        <f t="shared" si="218"/>
        <v>0</v>
      </c>
      <c r="AL233" s="42" t="s">
        <v>13</v>
      </c>
      <c r="AQ233" s="41">
        <f t="shared" si="219"/>
        <v>0</v>
      </c>
      <c r="AR233" s="41">
        <f t="shared" si="220"/>
        <v>0</v>
      </c>
      <c r="AS233" s="41">
        <f t="shared" si="221"/>
        <v>0</v>
      </c>
      <c r="AT233" s="44" t="s">
        <v>2438</v>
      </c>
      <c r="AU233" s="44" t="s">
        <v>2480</v>
      </c>
      <c r="AV233" s="31" t="s">
        <v>2486</v>
      </c>
      <c r="AX233" s="41">
        <f t="shared" si="222"/>
        <v>0</v>
      </c>
      <c r="AY233" s="41">
        <f t="shared" si="223"/>
        <v>0</v>
      </c>
      <c r="AZ233" s="41">
        <v>0</v>
      </c>
      <c r="BA233" s="41">
        <f t="shared" si="224"/>
        <v>0</v>
      </c>
      <c r="BC233" s="21">
        <f t="shared" si="225"/>
        <v>0</v>
      </c>
      <c r="BD233" s="21">
        <f t="shared" si="226"/>
        <v>0</v>
      </c>
      <c r="BE233" s="21">
        <f t="shared" si="227"/>
        <v>0</v>
      </c>
      <c r="BF233" s="21" t="s">
        <v>2492</v>
      </c>
      <c r="BG233" s="41">
        <v>728</v>
      </c>
    </row>
    <row r="234" spans="1:59" x14ac:dyDescent="0.3">
      <c r="A234" s="4" t="s">
        <v>218</v>
      </c>
      <c r="B234" s="13"/>
      <c r="C234" s="13" t="s">
        <v>1136</v>
      </c>
      <c r="D234" s="101" t="s">
        <v>1838</v>
      </c>
      <c r="E234" s="102"/>
      <c r="F234" s="13" t="s">
        <v>2394</v>
      </c>
      <c r="G234" s="21">
        <v>9</v>
      </c>
      <c r="H234" s="21">
        <v>0</v>
      </c>
      <c r="I234" s="21">
        <f t="shared" si="202"/>
        <v>0</v>
      </c>
      <c r="J234" s="21">
        <f t="shared" si="203"/>
        <v>0</v>
      </c>
      <c r="K234" s="21">
        <f t="shared" si="204"/>
        <v>0</v>
      </c>
      <c r="L234" s="21">
        <v>0</v>
      </c>
      <c r="M234" s="21">
        <f t="shared" si="205"/>
        <v>0</v>
      </c>
      <c r="N234" s="35"/>
      <c r="O234" s="39"/>
      <c r="U234" s="41">
        <f t="shared" si="206"/>
        <v>0</v>
      </c>
      <c r="W234" s="41">
        <f t="shared" si="207"/>
        <v>0</v>
      </c>
      <c r="X234" s="41">
        <f t="shared" si="208"/>
        <v>0</v>
      </c>
      <c r="Y234" s="41">
        <f t="shared" si="209"/>
        <v>0</v>
      </c>
      <c r="Z234" s="41">
        <f t="shared" si="210"/>
        <v>0</v>
      </c>
      <c r="AA234" s="41">
        <f t="shared" si="211"/>
        <v>0</v>
      </c>
      <c r="AB234" s="41">
        <f t="shared" si="212"/>
        <v>0</v>
      </c>
      <c r="AC234" s="41">
        <f t="shared" si="213"/>
        <v>0</v>
      </c>
      <c r="AD234" s="31"/>
      <c r="AE234" s="21">
        <f t="shared" si="214"/>
        <v>0</v>
      </c>
      <c r="AF234" s="21">
        <f t="shared" si="215"/>
        <v>0</v>
      </c>
      <c r="AG234" s="21">
        <f t="shared" si="216"/>
        <v>0</v>
      </c>
      <c r="AI234" s="41">
        <v>21</v>
      </c>
      <c r="AJ234" s="41">
        <f t="shared" si="217"/>
        <v>0</v>
      </c>
      <c r="AK234" s="41">
        <f t="shared" si="218"/>
        <v>0</v>
      </c>
      <c r="AL234" s="42" t="s">
        <v>13</v>
      </c>
      <c r="AQ234" s="41">
        <f t="shared" si="219"/>
        <v>0</v>
      </c>
      <c r="AR234" s="41">
        <f t="shared" si="220"/>
        <v>0</v>
      </c>
      <c r="AS234" s="41">
        <f t="shared" si="221"/>
        <v>0</v>
      </c>
      <c r="AT234" s="44" t="s">
        <v>2438</v>
      </c>
      <c r="AU234" s="44" t="s">
        <v>2480</v>
      </c>
      <c r="AV234" s="31" t="s">
        <v>2486</v>
      </c>
      <c r="AX234" s="41">
        <f t="shared" si="222"/>
        <v>0</v>
      </c>
      <c r="AY234" s="41">
        <f t="shared" si="223"/>
        <v>0</v>
      </c>
      <c r="AZ234" s="41">
        <v>0</v>
      </c>
      <c r="BA234" s="41">
        <f t="shared" si="224"/>
        <v>0</v>
      </c>
      <c r="BC234" s="21">
        <f t="shared" si="225"/>
        <v>0</v>
      </c>
      <c r="BD234" s="21">
        <f t="shared" si="226"/>
        <v>0</v>
      </c>
      <c r="BE234" s="21">
        <f t="shared" si="227"/>
        <v>0</v>
      </c>
      <c r="BF234" s="21" t="s">
        <v>2492</v>
      </c>
      <c r="BG234" s="41">
        <v>728</v>
      </c>
    </row>
    <row r="235" spans="1:59" x14ac:dyDescent="0.3">
      <c r="A235" s="4" t="s">
        <v>219</v>
      </c>
      <c r="B235" s="13"/>
      <c r="C235" s="13" t="s">
        <v>1136</v>
      </c>
      <c r="D235" s="101" t="s">
        <v>1839</v>
      </c>
      <c r="E235" s="102"/>
      <c r="F235" s="13" t="s">
        <v>2387</v>
      </c>
      <c r="G235" s="21">
        <v>25</v>
      </c>
      <c r="H235" s="21">
        <v>0</v>
      </c>
      <c r="I235" s="21">
        <f t="shared" si="202"/>
        <v>0</v>
      </c>
      <c r="J235" s="21">
        <f t="shared" si="203"/>
        <v>0</v>
      </c>
      <c r="K235" s="21">
        <f t="shared" si="204"/>
        <v>0</v>
      </c>
      <c r="L235" s="21">
        <v>0</v>
      </c>
      <c r="M235" s="21">
        <f t="shared" si="205"/>
        <v>0</v>
      </c>
      <c r="N235" s="35"/>
      <c r="O235" s="39"/>
      <c r="U235" s="41">
        <f t="shared" si="206"/>
        <v>0</v>
      </c>
      <c r="W235" s="41">
        <f t="shared" si="207"/>
        <v>0</v>
      </c>
      <c r="X235" s="41">
        <f t="shared" si="208"/>
        <v>0</v>
      </c>
      <c r="Y235" s="41">
        <f t="shared" si="209"/>
        <v>0</v>
      </c>
      <c r="Z235" s="41">
        <f t="shared" si="210"/>
        <v>0</v>
      </c>
      <c r="AA235" s="41">
        <f t="shared" si="211"/>
        <v>0</v>
      </c>
      <c r="AB235" s="41">
        <f t="shared" si="212"/>
        <v>0</v>
      </c>
      <c r="AC235" s="41">
        <f t="shared" si="213"/>
        <v>0</v>
      </c>
      <c r="AD235" s="31"/>
      <c r="AE235" s="21">
        <f t="shared" si="214"/>
        <v>0</v>
      </c>
      <c r="AF235" s="21">
        <f t="shared" si="215"/>
        <v>0</v>
      </c>
      <c r="AG235" s="21">
        <f t="shared" si="216"/>
        <v>0</v>
      </c>
      <c r="AI235" s="41">
        <v>21</v>
      </c>
      <c r="AJ235" s="41">
        <f t="shared" si="217"/>
        <v>0</v>
      </c>
      <c r="AK235" s="41">
        <f t="shared" si="218"/>
        <v>0</v>
      </c>
      <c r="AL235" s="42" t="s">
        <v>13</v>
      </c>
      <c r="AQ235" s="41">
        <f t="shared" si="219"/>
        <v>0</v>
      </c>
      <c r="AR235" s="41">
        <f t="shared" si="220"/>
        <v>0</v>
      </c>
      <c r="AS235" s="41">
        <f t="shared" si="221"/>
        <v>0</v>
      </c>
      <c r="AT235" s="44" t="s">
        <v>2438</v>
      </c>
      <c r="AU235" s="44" t="s">
        <v>2480</v>
      </c>
      <c r="AV235" s="31" t="s">
        <v>2486</v>
      </c>
      <c r="AX235" s="41">
        <f t="shared" si="222"/>
        <v>0</v>
      </c>
      <c r="AY235" s="41">
        <f t="shared" si="223"/>
        <v>0</v>
      </c>
      <c r="AZ235" s="41">
        <v>0</v>
      </c>
      <c r="BA235" s="41">
        <f t="shared" si="224"/>
        <v>0</v>
      </c>
      <c r="BC235" s="21">
        <f t="shared" si="225"/>
        <v>0</v>
      </c>
      <c r="BD235" s="21">
        <f t="shared" si="226"/>
        <v>0</v>
      </c>
      <c r="BE235" s="21">
        <f t="shared" si="227"/>
        <v>0</v>
      </c>
      <c r="BF235" s="21" t="s">
        <v>2492</v>
      </c>
      <c r="BG235" s="41">
        <v>728</v>
      </c>
    </row>
    <row r="236" spans="1:59" x14ac:dyDescent="0.3">
      <c r="A236" s="4" t="s">
        <v>220</v>
      </c>
      <c r="B236" s="13"/>
      <c r="C236" s="13" t="s">
        <v>1136</v>
      </c>
      <c r="D236" s="101" t="s">
        <v>1808</v>
      </c>
      <c r="E236" s="102"/>
      <c r="F236" s="13" t="s">
        <v>2384</v>
      </c>
      <c r="G236" s="21">
        <v>10</v>
      </c>
      <c r="H236" s="21">
        <v>0</v>
      </c>
      <c r="I236" s="21">
        <f t="shared" si="202"/>
        <v>0</v>
      </c>
      <c r="J236" s="21">
        <f t="shared" si="203"/>
        <v>0</v>
      </c>
      <c r="K236" s="21">
        <f t="shared" si="204"/>
        <v>0</v>
      </c>
      <c r="L236" s="21">
        <v>0</v>
      </c>
      <c r="M236" s="21">
        <f t="shared" si="205"/>
        <v>0</v>
      </c>
      <c r="N236" s="35"/>
      <c r="O236" s="39"/>
      <c r="U236" s="41">
        <f t="shared" si="206"/>
        <v>0</v>
      </c>
      <c r="W236" s="41">
        <f t="shared" si="207"/>
        <v>0</v>
      </c>
      <c r="X236" s="41">
        <f t="shared" si="208"/>
        <v>0</v>
      </c>
      <c r="Y236" s="41">
        <f t="shared" si="209"/>
        <v>0</v>
      </c>
      <c r="Z236" s="41">
        <f t="shared" si="210"/>
        <v>0</v>
      </c>
      <c r="AA236" s="41">
        <f t="shared" si="211"/>
        <v>0</v>
      </c>
      <c r="AB236" s="41">
        <f t="shared" si="212"/>
        <v>0</v>
      </c>
      <c r="AC236" s="41">
        <f t="shared" si="213"/>
        <v>0</v>
      </c>
      <c r="AD236" s="31"/>
      <c r="AE236" s="21">
        <f t="shared" si="214"/>
        <v>0</v>
      </c>
      <c r="AF236" s="21">
        <f t="shared" si="215"/>
        <v>0</v>
      </c>
      <c r="AG236" s="21">
        <f t="shared" si="216"/>
        <v>0</v>
      </c>
      <c r="AI236" s="41">
        <v>21</v>
      </c>
      <c r="AJ236" s="41">
        <f t="shared" si="217"/>
        <v>0</v>
      </c>
      <c r="AK236" s="41">
        <f t="shared" si="218"/>
        <v>0</v>
      </c>
      <c r="AL236" s="42" t="s">
        <v>13</v>
      </c>
      <c r="AQ236" s="41">
        <f t="shared" si="219"/>
        <v>0</v>
      </c>
      <c r="AR236" s="41">
        <f t="shared" si="220"/>
        <v>0</v>
      </c>
      <c r="AS236" s="41">
        <f t="shared" si="221"/>
        <v>0</v>
      </c>
      <c r="AT236" s="44" t="s">
        <v>2438</v>
      </c>
      <c r="AU236" s="44" t="s">
        <v>2480</v>
      </c>
      <c r="AV236" s="31" t="s">
        <v>2486</v>
      </c>
      <c r="AX236" s="41">
        <f t="shared" si="222"/>
        <v>0</v>
      </c>
      <c r="AY236" s="41">
        <f t="shared" si="223"/>
        <v>0</v>
      </c>
      <c r="AZ236" s="41">
        <v>0</v>
      </c>
      <c r="BA236" s="41">
        <f t="shared" si="224"/>
        <v>0</v>
      </c>
      <c r="BC236" s="21">
        <f t="shared" si="225"/>
        <v>0</v>
      </c>
      <c r="BD236" s="21">
        <f t="shared" si="226"/>
        <v>0</v>
      </c>
      <c r="BE236" s="21">
        <f t="shared" si="227"/>
        <v>0</v>
      </c>
      <c r="BF236" s="21" t="s">
        <v>2492</v>
      </c>
      <c r="BG236" s="41">
        <v>728</v>
      </c>
    </row>
    <row r="237" spans="1:59" x14ac:dyDescent="0.3">
      <c r="A237" s="4" t="s">
        <v>221</v>
      </c>
      <c r="B237" s="13"/>
      <c r="C237" s="13" t="s">
        <v>1136</v>
      </c>
      <c r="D237" s="101" t="s">
        <v>1840</v>
      </c>
      <c r="E237" s="102"/>
      <c r="F237" s="13" t="s">
        <v>2384</v>
      </c>
      <c r="G237" s="21">
        <v>1</v>
      </c>
      <c r="H237" s="21">
        <v>0</v>
      </c>
      <c r="I237" s="21">
        <f t="shared" si="202"/>
        <v>0</v>
      </c>
      <c r="J237" s="21">
        <f t="shared" si="203"/>
        <v>0</v>
      </c>
      <c r="K237" s="21">
        <f t="shared" si="204"/>
        <v>0</v>
      </c>
      <c r="L237" s="21">
        <v>0</v>
      </c>
      <c r="M237" s="21">
        <f t="shared" si="205"/>
        <v>0</v>
      </c>
      <c r="N237" s="35"/>
      <c r="O237" s="39"/>
      <c r="U237" s="41">
        <f t="shared" si="206"/>
        <v>0</v>
      </c>
      <c r="W237" s="41">
        <f t="shared" si="207"/>
        <v>0</v>
      </c>
      <c r="X237" s="41">
        <f t="shared" si="208"/>
        <v>0</v>
      </c>
      <c r="Y237" s="41">
        <f t="shared" si="209"/>
        <v>0</v>
      </c>
      <c r="Z237" s="41">
        <f t="shared" si="210"/>
        <v>0</v>
      </c>
      <c r="AA237" s="41">
        <f t="shared" si="211"/>
        <v>0</v>
      </c>
      <c r="AB237" s="41">
        <f t="shared" si="212"/>
        <v>0</v>
      </c>
      <c r="AC237" s="41">
        <f t="shared" si="213"/>
        <v>0</v>
      </c>
      <c r="AD237" s="31"/>
      <c r="AE237" s="21">
        <f t="shared" si="214"/>
        <v>0</v>
      </c>
      <c r="AF237" s="21">
        <f t="shared" si="215"/>
        <v>0</v>
      </c>
      <c r="AG237" s="21">
        <f t="shared" si="216"/>
        <v>0</v>
      </c>
      <c r="AI237" s="41">
        <v>21</v>
      </c>
      <c r="AJ237" s="41">
        <f t="shared" si="217"/>
        <v>0</v>
      </c>
      <c r="AK237" s="41">
        <f t="shared" si="218"/>
        <v>0</v>
      </c>
      <c r="AL237" s="42" t="s">
        <v>13</v>
      </c>
      <c r="AQ237" s="41">
        <f t="shared" si="219"/>
        <v>0</v>
      </c>
      <c r="AR237" s="41">
        <f t="shared" si="220"/>
        <v>0</v>
      </c>
      <c r="AS237" s="41">
        <f t="shared" si="221"/>
        <v>0</v>
      </c>
      <c r="AT237" s="44" t="s">
        <v>2438</v>
      </c>
      <c r="AU237" s="44" t="s">
        <v>2480</v>
      </c>
      <c r="AV237" s="31" t="s">
        <v>2486</v>
      </c>
      <c r="AX237" s="41">
        <f t="shared" si="222"/>
        <v>0</v>
      </c>
      <c r="AY237" s="41">
        <f t="shared" si="223"/>
        <v>0</v>
      </c>
      <c r="AZ237" s="41">
        <v>0</v>
      </c>
      <c r="BA237" s="41">
        <f t="shared" si="224"/>
        <v>0</v>
      </c>
      <c r="BC237" s="21">
        <f t="shared" si="225"/>
        <v>0</v>
      </c>
      <c r="BD237" s="21">
        <f t="shared" si="226"/>
        <v>0</v>
      </c>
      <c r="BE237" s="21">
        <f t="shared" si="227"/>
        <v>0</v>
      </c>
      <c r="BF237" s="21" t="s">
        <v>2492</v>
      </c>
      <c r="BG237" s="41">
        <v>728</v>
      </c>
    </row>
    <row r="238" spans="1:59" x14ac:dyDescent="0.3">
      <c r="A238" s="4" t="s">
        <v>222</v>
      </c>
      <c r="B238" s="13"/>
      <c r="C238" s="13" t="s">
        <v>1136</v>
      </c>
      <c r="D238" s="101" t="s">
        <v>1810</v>
      </c>
      <c r="E238" s="102"/>
      <c r="F238" s="13" t="s">
        <v>2384</v>
      </c>
      <c r="G238" s="21">
        <v>1</v>
      </c>
      <c r="H238" s="21">
        <v>0</v>
      </c>
      <c r="I238" s="21">
        <f t="shared" si="202"/>
        <v>0</v>
      </c>
      <c r="J238" s="21">
        <f t="shared" si="203"/>
        <v>0</v>
      </c>
      <c r="K238" s="21">
        <f t="shared" si="204"/>
        <v>0</v>
      </c>
      <c r="L238" s="21">
        <v>0</v>
      </c>
      <c r="M238" s="21">
        <f t="shared" si="205"/>
        <v>0</v>
      </c>
      <c r="N238" s="35"/>
      <c r="O238" s="39"/>
      <c r="U238" s="41">
        <f t="shared" si="206"/>
        <v>0</v>
      </c>
      <c r="W238" s="41">
        <f t="shared" si="207"/>
        <v>0</v>
      </c>
      <c r="X238" s="41">
        <f t="shared" si="208"/>
        <v>0</v>
      </c>
      <c r="Y238" s="41">
        <f t="shared" si="209"/>
        <v>0</v>
      </c>
      <c r="Z238" s="41">
        <f t="shared" si="210"/>
        <v>0</v>
      </c>
      <c r="AA238" s="41">
        <f t="shared" si="211"/>
        <v>0</v>
      </c>
      <c r="AB238" s="41">
        <f t="shared" si="212"/>
        <v>0</v>
      </c>
      <c r="AC238" s="41">
        <f t="shared" si="213"/>
        <v>0</v>
      </c>
      <c r="AD238" s="31"/>
      <c r="AE238" s="21">
        <f t="shared" si="214"/>
        <v>0</v>
      </c>
      <c r="AF238" s="21">
        <f t="shared" si="215"/>
        <v>0</v>
      </c>
      <c r="AG238" s="21">
        <f t="shared" si="216"/>
        <v>0</v>
      </c>
      <c r="AI238" s="41">
        <v>21</v>
      </c>
      <c r="AJ238" s="41">
        <f t="shared" si="217"/>
        <v>0</v>
      </c>
      <c r="AK238" s="41">
        <f t="shared" si="218"/>
        <v>0</v>
      </c>
      <c r="AL238" s="42" t="s">
        <v>13</v>
      </c>
      <c r="AQ238" s="41">
        <f t="shared" si="219"/>
        <v>0</v>
      </c>
      <c r="AR238" s="41">
        <f t="shared" si="220"/>
        <v>0</v>
      </c>
      <c r="AS238" s="41">
        <f t="shared" si="221"/>
        <v>0</v>
      </c>
      <c r="AT238" s="44" t="s">
        <v>2438</v>
      </c>
      <c r="AU238" s="44" t="s">
        <v>2480</v>
      </c>
      <c r="AV238" s="31" t="s">
        <v>2486</v>
      </c>
      <c r="AX238" s="41">
        <f t="shared" si="222"/>
        <v>0</v>
      </c>
      <c r="AY238" s="41">
        <f t="shared" si="223"/>
        <v>0</v>
      </c>
      <c r="AZ238" s="41">
        <v>0</v>
      </c>
      <c r="BA238" s="41">
        <f t="shared" si="224"/>
        <v>0</v>
      </c>
      <c r="BC238" s="21">
        <f t="shared" si="225"/>
        <v>0</v>
      </c>
      <c r="BD238" s="21">
        <f t="shared" si="226"/>
        <v>0</v>
      </c>
      <c r="BE238" s="21">
        <f t="shared" si="227"/>
        <v>0</v>
      </c>
      <c r="BF238" s="21" t="s">
        <v>2492</v>
      </c>
      <c r="BG238" s="41">
        <v>728</v>
      </c>
    </row>
    <row r="239" spans="1:59" x14ac:dyDescent="0.3">
      <c r="A239" s="4" t="s">
        <v>223</v>
      </c>
      <c r="B239" s="13"/>
      <c r="C239" s="13" t="s">
        <v>1136</v>
      </c>
      <c r="D239" s="101" t="s">
        <v>1841</v>
      </c>
      <c r="E239" s="102"/>
      <c r="F239" s="13" t="s">
        <v>2384</v>
      </c>
      <c r="G239" s="21">
        <v>4</v>
      </c>
      <c r="H239" s="21">
        <v>0</v>
      </c>
      <c r="I239" s="21">
        <f t="shared" si="202"/>
        <v>0</v>
      </c>
      <c r="J239" s="21">
        <f t="shared" si="203"/>
        <v>0</v>
      </c>
      <c r="K239" s="21">
        <f t="shared" si="204"/>
        <v>0</v>
      </c>
      <c r="L239" s="21">
        <v>0</v>
      </c>
      <c r="M239" s="21">
        <f t="shared" si="205"/>
        <v>0</v>
      </c>
      <c r="N239" s="35"/>
      <c r="O239" s="39"/>
      <c r="U239" s="41">
        <f t="shared" si="206"/>
        <v>0</v>
      </c>
      <c r="W239" s="41">
        <f t="shared" si="207"/>
        <v>0</v>
      </c>
      <c r="X239" s="41">
        <f t="shared" si="208"/>
        <v>0</v>
      </c>
      <c r="Y239" s="41">
        <f t="shared" si="209"/>
        <v>0</v>
      </c>
      <c r="Z239" s="41">
        <f t="shared" si="210"/>
        <v>0</v>
      </c>
      <c r="AA239" s="41">
        <f t="shared" si="211"/>
        <v>0</v>
      </c>
      <c r="AB239" s="41">
        <f t="shared" si="212"/>
        <v>0</v>
      </c>
      <c r="AC239" s="41">
        <f t="shared" si="213"/>
        <v>0</v>
      </c>
      <c r="AD239" s="31"/>
      <c r="AE239" s="21">
        <f t="shared" si="214"/>
        <v>0</v>
      </c>
      <c r="AF239" s="21">
        <f t="shared" si="215"/>
        <v>0</v>
      </c>
      <c r="AG239" s="21">
        <f t="shared" si="216"/>
        <v>0</v>
      </c>
      <c r="AI239" s="41">
        <v>21</v>
      </c>
      <c r="AJ239" s="41">
        <f t="shared" si="217"/>
        <v>0</v>
      </c>
      <c r="AK239" s="41">
        <f t="shared" si="218"/>
        <v>0</v>
      </c>
      <c r="AL239" s="42" t="s">
        <v>13</v>
      </c>
      <c r="AQ239" s="41">
        <f t="shared" si="219"/>
        <v>0</v>
      </c>
      <c r="AR239" s="41">
        <f t="shared" si="220"/>
        <v>0</v>
      </c>
      <c r="AS239" s="41">
        <f t="shared" si="221"/>
        <v>0</v>
      </c>
      <c r="AT239" s="44" t="s">
        <v>2438</v>
      </c>
      <c r="AU239" s="44" t="s">
        <v>2480</v>
      </c>
      <c r="AV239" s="31" t="s">
        <v>2486</v>
      </c>
      <c r="AX239" s="41">
        <f t="shared" si="222"/>
        <v>0</v>
      </c>
      <c r="AY239" s="41">
        <f t="shared" si="223"/>
        <v>0</v>
      </c>
      <c r="AZ239" s="41">
        <v>0</v>
      </c>
      <c r="BA239" s="41">
        <f t="shared" si="224"/>
        <v>0</v>
      </c>
      <c r="BC239" s="21">
        <f t="shared" si="225"/>
        <v>0</v>
      </c>
      <c r="BD239" s="21">
        <f t="shared" si="226"/>
        <v>0</v>
      </c>
      <c r="BE239" s="21">
        <f t="shared" si="227"/>
        <v>0</v>
      </c>
      <c r="BF239" s="21" t="s">
        <v>2492</v>
      </c>
      <c r="BG239" s="41">
        <v>728</v>
      </c>
    </row>
    <row r="240" spans="1:59" x14ac:dyDescent="0.3">
      <c r="A240" s="4" t="s">
        <v>224</v>
      </c>
      <c r="B240" s="13"/>
      <c r="C240" s="13" t="s">
        <v>1136</v>
      </c>
      <c r="D240" s="101" t="s">
        <v>1842</v>
      </c>
      <c r="E240" s="102"/>
      <c r="F240" s="13" t="s">
        <v>2384</v>
      </c>
      <c r="G240" s="21">
        <v>1</v>
      </c>
      <c r="H240" s="21">
        <v>0</v>
      </c>
      <c r="I240" s="21">
        <f t="shared" si="202"/>
        <v>0</v>
      </c>
      <c r="J240" s="21">
        <f t="shared" si="203"/>
        <v>0</v>
      </c>
      <c r="K240" s="21">
        <f t="shared" si="204"/>
        <v>0</v>
      </c>
      <c r="L240" s="21">
        <v>0</v>
      </c>
      <c r="M240" s="21">
        <f t="shared" si="205"/>
        <v>0</v>
      </c>
      <c r="N240" s="35"/>
      <c r="O240" s="39"/>
      <c r="U240" s="41">
        <f t="shared" si="206"/>
        <v>0</v>
      </c>
      <c r="W240" s="41">
        <f t="shared" si="207"/>
        <v>0</v>
      </c>
      <c r="X240" s="41">
        <f t="shared" si="208"/>
        <v>0</v>
      </c>
      <c r="Y240" s="41">
        <f t="shared" si="209"/>
        <v>0</v>
      </c>
      <c r="Z240" s="41">
        <f t="shared" si="210"/>
        <v>0</v>
      </c>
      <c r="AA240" s="41">
        <f t="shared" si="211"/>
        <v>0</v>
      </c>
      <c r="AB240" s="41">
        <f t="shared" si="212"/>
        <v>0</v>
      </c>
      <c r="AC240" s="41">
        <f t="shared" si="213"/>
        <v>0</v>
      </c>
      <c r="AD240" s="31"/>
      <c r="AE240" s="21">
        <f t="shared" si="214"/>
        <v>0</v>
      </c>
      <c r="AF240" s="21">
        <f t="shared" si="215"/>
        <v>0</v>
      </c>
      <c r="AG240" s="21">
        <f t="shared" si="216"/>
        <v>0</v>
      </c>
      <c r="AI240" s="41">
        <v>21</v>
      </c>
      <c r="AJ240" s="41">
        <f t="shared" si="217"/>
        <v>0</v>
      </c>
      <c r="AK240" s="41">
        <f t="shared" si="218"/>
        <v>0</v>
      </c>
      <c r="AL240" s="42" t="s">
        <v>13</v>
      </c>
      <c r="AQ240" s="41">
        <f t="shared" si="219"/>
        <v>0</v>
      </c>
      <c r="AR240" s="41">
        <f t="shared" si="220"/>
        <v>0</v>
      </c>
      <c r="AS240" s="41">
        <f t="shared" si="221"/>
        <v>0</v>
      </c>
      <c r="AT240" s="44" t="s">
        <v>2438</v>
      </c>
      <c r="AU240" s="44" t="s">
        <v>2480</v>
      </c>
      <c r="AV240" s="31" t="s">
        <v>2486</v>
      </c>
      <c r="AX240" s="41">
        <f t="shared" si="222"/>
        <v>0</v>
      </c>
      <c r="AY240" s="41">
        <f t="shared" si="223"/>
        <v>0</v>
      </c>
      <c r="AZ240" s="41">
        <v>0</v>
      </c>
      <c r="BA240" s="41">
        <f t="shared" si="224"/>
        <v>0</v>
      </c>
      <c r="BC240" s="21">
        <f t="shared" si="225"/>
        <v>0</v>
      </c>
      <c r="BD240" s="21">
        <f t="shared" si="226"/>
        <v>0</v>
      </c>
      <c r="BE240" s="21">
        <f t="shared" si="227"/>
        <v>0</v>
      </c>
      <c r="BF240" s="21" t="s">
        <v>2492</v>
      </c>
      <c r="BG240" s="41">
        <v>728</v>
      </c>
    </row>
    <row r="241" spans="1:59" x14ac:dyDescent="0.3">
      <c r="A241" s="4" t="s">
        <v>225</v>
      </c>
      <c r="B241" s="13"/>
      <c r="C241" s="13" t="s">
        <v>1136</v>
      </c>
      <c r="D241" s="101" t="s">
        <v>1812</v>
      </c>
      <c r="E241" s="102"/>
      <c r="F241" s="13" t="s">
        <v>2384</v>
      </c>
      <c r="G241" s="21">
        <v>1</v>
      </c>
      <c r="H241" s="21">
        <v>0</v>
      </c>
      <c r="I241" s="21">
        <f t="shared" si="202"/>
        <v>0</v>
      </c>
      <c r="J241" s="21">
        <f t="shared" si="203"/>
        <v>0</v>
      </c>
      <c r="K241" s="21">
        <f t="shared" si="204"/>
        <v>0</v>
      </c>
      <c r="L241" s="21">
        <v>0</v>
      </c>
      <c r="M241" s="21">
        <f t="shared" si="205"/>
        <v>0</v>
      </c>
      <c r="N241" s="35"/>
      <c r="O241" s="39"/>
      <c r="U241" s="41">
        <f t="shared" si="206"/>
        <v>0</v>
      </c>
      <c r="W241" s="41">
        <f t="shared" si="207"/>
        <v>0</v>
      </c>
      <c r="X241" s="41">
        <f t="shared" si="208"/>
        <v>0</v>
      </c>
      <c r="Y241" s="41">
        <f t="shared" si="209"/>
        <v>0</v>
      </c>
      <c r="Z241" s="41">
        <f t="shared" si="210"/>
        <v>0</v>
      </c>
      <c r="AA241" s="41">
        <f t="shared" si="211"/>
        <v>0</v>
      </c>
      <c r="AB241" s="41">
        <f t="shared" si="212"/>
        <v>0</v>
      </c>
      <c r="AC241" s="41">
        <f t="shared" si="213"/>
        <v>0</v>
      </c>
      <c r="AD241" s="31"/>
      <c r="AE241" s="21">
        <f t="shared" si="214"/>
        <v>0</v>
      </c>
      <c r="AF241" s="21">
        <f t="shared" si="215"/>
        <v>0</v>
      </c>
      <c r="AG241" s="21">
        <f t="shared" si="216"/>
        <v>0</v>
      </c>
      <c r="AI241" s="41">
        <v>21</v>
      </c>
      <c r="AJ241" s="41">
        <f t="shared" si="217"/>
        <v>0</v>
      </c>
      <c r="AK241" s="41">
        <f t="shared" si="218"/>
        <v>0</v>
      </c>
      <c r="AL241" s="42" t="s">
        <v>13</v>
      </c>
      <c r="AQ241" s="41">
        <f t="shared" si="219"/>
        <v>0</v>
      </c>
      <c r="AR241" s="41">
        <f t="shared" si="220"/>
        <v>0</v>
      </c>
      <c r="AS241" s="41">
        <f t="shared" si="221"/>
        <v>0</v>
      </c>
      <c r="AT241" s="44" t="s">
        <v>2438</v>
      </c>
      <c r="AU241" s="44" t="s">
        <v>2480</v>
      </c>
      <c r="AV241" s="31" t="s">
        <v>2486</v>
      </c>
      <c r="AX241" s="41">
        <f t="shared" si="222"/>
        <v>0</v>
      </c>
      <c r="AY241" s="41">
        <f t="shared" si="223"/>
        <v>0</v>
      </c>
      <c r="AZ241" s="41">
        <v>0</v>
      </c>
      <c r="BA241" s="41">
        <f t="shared" si="224"/>
        <v>0</v>
      </c>
      <c r="BC241" s="21">
        <f t="shared" si="225"/>
        <v>0</v>
      </c>
      <c r="BD241" s="21">
        <f t="shared" si="226"/>
        <v>0</v>
      </c>
      <c r="BE241" s="21">
        <f t="shared" si="227"/>
        <v>0</v>
      </c>
      <c r="BF241" s="21" t="s">
        <v>2492</v>
      </c>
      <c r="BG241" s="41">
        <v>728</v>
      </c>
    </row>
    <row r="242" spans="1:59" x14ac:dyDescent="0.3">
      <c r="A242" s="4" t="s">
        <v>226</v>
      </c>
      <c r="B242" s="13"/>
      <c r="C242" s="13" t="s">
        <v>1136</v>
      </c>
      <c r="D242" s="101" t="s">
        <v>1813</v>
      </c>
      <c r="E242" s="102"/>
      <c r="F242" s="13" t="s">
        <v>2384</v>
      </c>
      <c r="G242" s="21">
        <v>1</v>
      </c>
      <c r="H242" s="21">
        <v>0</v>
      </c>
      <c r="I242" s="21">
        <f t="shared" si="202"/>
        <v>0</v>
      </c>
      <c r="J242" s="21">
        <f t="shared" si="203"/>
        <v>0</v>
      </c>
      <c r="K242" s="21">
        <f t="shared" si="204"/>
        <v>0</v>
      </c>
      <c r="L242" s="21">
        <v>0</v>
      </c>
      <c r="M242" s="21">
        <f t="shared" si="205"/>
        <v>0</v>
      </c>
      <c r="N242" s="35"/>
      <c r="O242" s="39"/>
      <c r="U242" s="41">
        <f t="shared" si="206"/>
        <v>0</v>
      </c>
      <c r="W242" s="41">
        <f t="shared" si="207"/>
        <v>0</v>
      </c>
      <c r="X242" s="41">
        <f t="shared" si="208"/>
        <v>0</v>
      </c>
      <c r="Y242" s="41">
        <f t="shared" si="209"/>
        <v>0</v>
      </c>
      <c r="Z242" s="41">
        <f t="shared" si="210"/>
        <v>0</v>
      </c>
      <c r="AA242" s="41">
        <f t="shared" si="211"/>
        <v>0</v>
      </c>
      <c r="AB242" s="41">
        <f t="shared" si="212"/>
        <v>0</v>
      </c>
      <c r="AC242" s="41">
        <f t="shared" si="213"/>
        <v>0</v>
      </c>
      <c r="AD242" s="31"/>
      <c r="AE242" s="21">
        <f t="shared" si="214"/>
        <v>0</v>
      </c>
      <c r="AF242" s="21">
        <f t="shared" si="215"/>
        <v>0</v>
      </c>
      <c r="AG242" s="21">
        <f t="shared" si="216"/>
        <v>0</v>
      </c>
      <c r="AI242" s="41">
        <v>21</v>
      </c>
      <c r="AJ242" s="41">
        <f t="shared" si="217"/>
        <v>0</v>
      </c>
      <c r="AK242" s="41">
        <f t="shared" si="218"/>
        <v>0</v>
      </c>
      <c r="AL242" s="42" t="s">
        <v>13</v>
      </c>
      <c r="AQ242" s="41">
        <f t="shared" si="219"/>
        <v>0</v>
      </c>
      <c r="AR242" s="41">
        <f t="shared" si="220"/>
        <v>0</v>
      </c>
      <c r="AS242" s="41">
        <f t="shared" si="221"/>
        <v>0</v>
      </c>
      <c r="AT242" s="44" t="s">
        <v>2438</v>
      </c>
      <c r="AU242" s="44" t="s">
        <v>2480</v>
      </c>
      <c r="AV242" s="31" t="s">
        <v>2486</v>
      </c>
      <c r="AX242" s="41">
        <f t="shared" si="222"/>
        <v>0</v>
      </c>
      <c r="AY242" s="41">
        <f t="shared" si="223"/>
        <v>0</v>
      </c>
      <c r="AZ242" s="41">
        <v>0</v>
      </c>
      <c r="BA242" s="41">
        <f t="shared" si="224"/>
        <v>0</v>
      </c>
      <c r="BC242" s="21">
        <f t="shared" si="225"/>
        <v>0</v>
      </c>
      <c r="BD242" s="21">
        <f t="shared" si="226"/>
        <v>0</v>
      </c>
      <c r="BE242" s="21">
        <f t="shared" si="227"/>
        <v>0</v>
      </c>
      <c r="BF242" s="21" t="s">
        <v>2492</v>
      </c>
      <c r="BG242" s="41">
        <v>728</v>
      </c>
    </row>
    <row r="243" spans="1:59" x14ac:dyDescent="0.3">
      <c r="A243" s="4" t="s">
        <v>227</v>
      </c>
      <c r="B243" s="13"/>
      <c r="C243" s="13" t="s">
        <v>1136</v>
      </c>
      <c r="D243" s="101" t="s">
        <v>1812</v>
      </c>
      <c r="E243" s="102"/>
      <c r="F243" s="13" t="s">
        <v>2384</v>
      </c>
      <c r="G243" s="21">
        <v>1</v>
      </c>
      <c r="H243" s="21">
        <v>0</v>
      </c>
      <c r="I243" s="21">
        <f t="shared" si="202"/>
        <v>0</v>
      </c>
      <c r="J243" s="21">
        <f t="shared" si="203"/>
        <v>0</v>
      </c>
      <c r="K243" s="21">
        <f t="shared" si="204"/>
        <v>0</v>
      </c>
      <c r="L243" s="21">
        <v>0</v>
      </c>
      <c r="M243" s="21">
        <f t="shared" si="205"/>
        <v>0</v>
      </c>
      <c r="N243" s="35"/>
      <c r="O243" s="39"/>
      <c r="U243" s="41">
        <f t="shared" si="206"/>
        <v>0</v>
      </c>
      <c r="W243" s="41">
        <f t="shared" si="207"/>
        <v>0</v>
      </c>
      <c r="X243" s="41">
        <f t="shared" si="208"/>
        <v>0</v>
      </c>
      <c r="Y243" s="41">
        <f t="shared" si="209"/>
        <v>0</v>
      </c>
      <c r="Z243" s="41">
        <f t="shared" si="210"/>
        <v>0</v>
      </c>
      <c r="AA243" s="41">
        <f t="shared" si="211"/>
        <v>0</v>
      </c>
      <c r="AB243" s="41">
        <f t="shared" si="212"/>
        <v>0</v>
      </c>
      <c r="AC243" s="41">
        <f t="shared" si="213"/>
        <v>0</v>
      </c>
      <c r="AD243" s="31"/>
      <c r="AE243" s="21">
        <f t="shared" si="214"/>
        <v>0</v>
      </c>
      <c r="AF243" s="21">
        <f t="shared" si="215"/>
        <v>0</v>
      </c>
      <c r="AG243" s="21">
        <f t="shared" si="216"/>
        <v>0</v>
      </c>
      <c r="AI243" s="41">
        <v>21</v>
      </c>
      <c r="AJ243" s="41">
        <f t="shared" si="217"/>
        <v>0</v>
      </c>
      <c r="AK243" s="41">
        <f t="shared" si="218"/>
        <v>0</v>
      </c>
      <c r="AL243" s="42" t="s">
        <v>13</v>
      </c>
      <c r="AQ243" s="41">
        <f t="shared" si="219"/>
        <v>0</v>
      </c>
      <c r="AR243" s="41">
        <f t="shared" si="220"/>
        <v>0</v>
      </c>
      <c r="AS243" s="41">
        <f t="shared" si="221"/>
        <v>0</v>
      </c>
      <c r="AT243" s="44" t="s">
        <v>2438</v>
      </c>
      <c r="AU243" s="44" t="s">
        <v>2480</v>
      </c>
      <c r="AV243" s="31" t="s">
        <v>2486</v>
      </c>
      <c r="AX243" s="41">
        <f t="shared" si="222"/>
        <v>0</v>
      </c>
      <c r="AY243" s="41">
        <f t="shared" si="223"/>
        <v>0</v>
      </c>
      <c r="AZ243" s="41">
        <v>0</v>
      </c>
      <c r="BA243" s="41">
        <f t="shared" si="224"/>
        <v>0</v>
      </c>
      <c r="BC243" s="21">
        <f t="shared" si="225"/>
        <v>0</v>
      </c>
      <c r="BD243" s="21">
        <f t="shared" si="226"/>
        <v>0</v>
      </c>
      <c r="BE243" s="21">
        <f t="shared" si="227"/>
        <v>0</v>
      </c>
      <c r="BF243" s="21" t="s">
        <v>2492</v>
      </c>
      <c r="BG243" s="41">
        <v>728</v>
      </c>
    </row>
    <row r="244" spans="1:59" x14ac:dyDescent="0.3">
      <c r="A244" s="4" t="s">
        <v>228</v>
      </c>
      <c r="B244" s="13"/>
      <c r="C244" s="13" t="s">
        <v>1136</v>
      </c>
      <c r="D244" s="101" t="s">
        <v>1813</v>
      </c>
      <c r="E244" s="102"/>
      <c r="F244" s="13" t="s">
        <v>2384</v>
      </c>
      <c r="G244" s="21">
        <v>1</v>
      </c>
      <c r="H244" s="21">
        <v>0</v>
      </c>
      <c r="I244" s="21">
        <f t="shared" si="202"/>
        <v>0</v>
      </c>
      <c r="J244" s="21">
        <f t="shared" si="203"/>
        <v>0</v>
      </c>
      <c r="K244" s="21">
        <f t="shared" si="204"/>
        <v>0</v>
      </c>
      <c r="L244" s="21">
        <v>0</v>
      </c>
      <c r="M244" s="21">
        <f t="shared" si="205"/>
        <v>0</v>
      </c>
      <c r="N244" s="35"/>
      <c r="O244" s="39"/>
      <c r="U244" s="41">
        <f t="shared" si="206"/>
        <v>0</v>
      </c>
      <c r="W244" s="41">
        <f t="shared" si="207"/>
        <v>0</v>
      </c>
      <c r="X244" s="41">
        <f t="shared" si="208"/>
        <v>0</v>
      </c>
      <c r="Y244" s="41">
        <f t="shared" si="209"/>
        <v>0</v>
      </c>
      <c r="Z244" s="41">
        <f t="shared" si="210"/>
        <v>0</v>
      </c>
      <c r="AA244" s="41">
        <f t="shared" si="211"/>
        <v>0</v>
      </c>
      <c r="AB244" s="41">
        <f t="shared" si="212"/>
        <v>0</v>
      </c>
      <c r="AC244" s="41">
        <f t="shared" si="213"/>
        <v>0</v>
      </c>
      <c r="AD244" s="31"/>
      <c r="AE244" s="21">
        <f t="shared" si="214"/>
        <v>0</v>
      </c>
      <c r="AF244" s="21">
        <f t="shared" si="215"/>
        <v>0</v>
      </c>
      <c r="AG244" s="21">
        <f t="shared" si="216"/>
        <v>0</v>
      </c>
      <c r="AI244" s="41">
        <v>21</v>
      </c>
      <c r="AJ244" s="41">
        <f t="shared" si="217"/>
        <v>0</v>
      </c>
      <c r="AK244" s="41">
        <f t="shared" si="218"/>
        <v>0</v>
      </c>
      <c r="AL244" s="42" t="s">
        <v>13</v>
      </c>
      <c r="AQ244" s="41">
        <f t="shared" si="219"/>
        <v>0</v>
      </c>
      <c r="AR244" s="41">
        <f t="shared" si="220"/>
        <v>0</v>
      </c>
      <c r="AS244" s="41">
        <f t="shared" si="221"/>
        <v>0</v>
      </c>
      <c r="AT244" s="44" t="s">
        <v>2438</v>
      </c>
      <c r="AU244" s="44" t="s">
        <v>2480</v>
      </c>
      <c r="AV244" s="31" t="s">
        <v>2486</v>
      </c>
      <c r="AX244" s="41">
        <f t="shared" si="222"/>
        <v>0</v>
      </c>
      <c r="AY244" s="41">
        <f t="shared" si="223"/>
        <v>0</v>
      </c>
      <c r="AZ244" s="41">
        <v>0</v>
      </c>
      <c r="BA244" s="41">
        <f t="shared" si="224"/>
        <v>0</v>
      </c>
      <c r="BC244" s="21">
        <f t="shared" si="225"/>
        <v>0</v>
      </c>
      <c r="BD244" s="21">
        <f t="shared" si="226"/>
        <v>0</v>
      </c>
      <c r="BE244" s="21">
        <f t="shared" si="227"/>
        <v>0</v>
      </c>
      <c r="BF244" s="21" t="s">
        <v>2492</v>
      </c>
      <c r="BG244" s="41">
        <v>728</v>
      </c>
    </row>
    <row r="245" spans="1:59" x14ac:dyDescent="0.3">
      <c r="A245" s="4" t="s">
        <v>229</v>
      </c>
      <c r="B245" s="13"/>
      <c r="C245" s="13" t="s">
        <v>1136</v>
      </c>
      <c r="D245" s="101" t="s">
        <v>1812</v>
      </c>
      <c r="E245" s="102"/>
      <c r="F245" s="13" t="s">
        <v>2384</v>
      </c>
      <c r="G245" s="21">
        <v>1</v>
      </c>
      <c r="H245" s="21">
        <v>0</v>
      </c>
      <c r="I245" s="21">
        <f t="shared" si="202"/>
        <v>0</v>
      </c>
      <c r="J245" s="21">
        <f t="shared" si="203"/>
        <v>0</v>
      </c>
      <c r="K245" s="21">
        <f t="shared" si="204"/>
        <v>0</v>
      </c>
      <c r="L245" s="21">
        <v>0</v>
      </c>
      <c r="M245" s="21">
        <f t="shared" si="205"/>
        <v>0</v>
      </c>
      <c r="N245" s="35"/>
      <c r="O245" s="39"/>
      <c r="U245" s="41">
        <f t="shared" si="206"/>
        <v>0</v>
      </c>
      <c r="W245" s="41">
        <f t="shared" si="207"/>
        <v>0</v>
      </c>
      <c r="X245" s="41">
        <f t="shared" si="208"/>
        <v>0</v>
      </c>
      <c r="Y245" s="41">
        <f t="shared" si="209"/>
        <v>0</v>
      </c>
      <c r="Z245" s="41">
        <f t="shared" si="210"/>
        <v>0</v>
      </c>
      <c r="AA245" s="41">
        <f t="shared" si="211"/>
        <v>0</v>
      </c>
      <c r="AB245" s="41">
        <f t="shared" si="212"/>
        <v>0</v>
      </c>
      <c r="AC245" s="41">
        <f t="shared" si="213"/>
        <v>0</v>
      </c>
      <c r="AD245" s="31"/>
      <c r="AE245" s="21">
        <f t="shared" si="214"/>
        <v>0</v>
      </c>
      <c r="AF245" s="21">
        <f t="shared" si="215"/>
        <v>0</v>
      </c>
      <c r="AG245" s="21">
        <f t="shared" si="216"/>
        <v>0</v>
      </c>
      <c r="AI245" s="41">
        <v>21</v>
      </c>
      <c r="AJ245" s="41">
        <f t="shared" si="217"/>
        <v>0</v>
      </c>
      <c r="AK245" s="41">
        <f t="shared" si="218"/>
        <v>0</v>
      </c>
      <c r="AL245" s="42" t="s">
        <v>13</v>
      </c>
      <c r="AQ245" s="41">
        <f t="shared" si="219"/>
        <v>0</v>
      </c>
      <c r="AR245" s="41">
        <f t="shared" si="220"/>
        <v>0</v>
      </c>
      <c r="AS245" s="41">
        <f t="shared" si="221"/>
        <v>0</v>
      </c>
      <c r="AT245" s="44" t="s">
        <v>2438</v>
      </c>
      <c r="AU245" s="44" t="s">
        <v>2480</v>
      </c>
      <c r="AV245" s="31" t="s">
        <v>2486</v>
      </c>
      <c r="AX245" s="41">
        <f t="shared" si="222"/>
        <v>0</v>
      </c>
      <c r="AY245" s="41">
        <f t="shared" si="223"/>
        <v>0</v>
      </c>
      <c r="AZ245" s="41">
        <v>0</v>
      </c>
      <c r="BA245" s="41">
        <f t="shared" si="224"/>
        <v>0</v>
      </c>
      <c r="BC245" s="21">
        <f t="shared" si="225"/>
        <v>0</v>
      </c>
      <c r="BD245" s="21">
        <f t="shared" si="226"/>
        <v>0</v>
      </c>
      <c r="BE245" s="21">
        <f t="shared" si="227"/>
        <v>0</v>
      </c>
      <c r="BF245" s="21" t="s">
        <v>2492</v>
      </c>
      <c r="BG245" s="41">
        <v>728</v>
      </c>
    </row>
    <row r="246" spans="1:59" x14ac:dyDescent="0.3">
      <c r="A246" s="4" t="s">
        <v>230</v>
      </c>
      <c r="B246" s="13"/>
      <c r="C246" s="13" t="s">
        <v>1136</v>
      </c>
      <c r="D246" s="101" t="s">
        <v>1813</v>
      </c>
      <c r="E246" s="102"/>
      <c r="F246" s="13" t="s">
        <v>2384</v>
      </c>
      <c r="G246" s="21">
        <v>1</v>
      </c>
      <c r="H246" s="21">
        <v>0</v>
      </c>
      <c r="I246" s="21">
        <f t="shared" si="202"/>
        <v>0</v>
      </c>
      <c r="J246" s="21">
        <f t="shared" si="203"/>
        <v>0</v>
      </c>
      <c r="K246" s="21">
        <f t="shared" si="204"/>
        <v>0</v>
      </c>
      <c r="L246" s="21">
        <v>0</v>
      </c>
      <c r="M246" s="21">
        <f t="shared" si="205"/>
        <v>0</v>
      </c>
      <c r="N246" s="35"/>
      <c r="O246" s="39"/>
      <c r="U246" s="41">
        <f t="shared" si="206"/>
        <v>0</v>
      </c>
      <c r="W246" s="41">
        <f t="shared" si="207"/>
        <v>0</v>
      </c>
      <c r="X246" s="41">
        <f t="shared" si="208"/>
        <v>0</v>
      </c>
      <c r="Y246" s="41">
        <f t="shared" si="209"/>
        <v>0</v>
      </c>
      <c r="Z246" s="41">
        <f t="shared" si="210"/>
        <v>0</v>
      </c>
      <c r="AA246" s="41">
        <f t="shared" si="211"/>
        <v>0</v>
      </c>
      <c r="AB246" s="41">
        <f t="shared" si="212"/>
        <v>0</v>
      </c>
      <c r="AC246" s="41">
        <f t="shared" si="213"/>
        <v>0</v>
      </c>
      <c r="AD246" s="31"/>
      <c r="AE246" s="21">
        <f t="shared" si="214"/>
        <v>0</v>
      </c>
      <c r="AF246" s="21">
        <f t="shared" si="215"/>
        <v>0</v>
      </c>
      <c r="AG246" s="21">
        <f t="shared" si="216"/>
        <v>0</v>
      </c>
      <c r="AI246" s="41">
        <v>21</v>
      </c>
      <c r="AJ246" s="41">
        <f t="shared" si="217"/>
        <v>0</v>
      </c>
      <c r="AK246" s="41">
        <f t="shared" si="218"/>
        <v>0</v>
      </c>
      <c r="AL246" s="42" t="s">
        <v>13</v>
      </c>
      <c r="AQ246" s="41">
        <f t="shared" si="219"/>
        <v>0</v>
      </c>
      <c r="AR246" s="41">
        <f t="shared" si="220"/>
        <v>0</v>
      </c>
      <c r="AS246" s="41">
        <f t="shared" si="221"/>
        <v>0</v>
      </c>
      <c r="AT246" s="44" t="s">
        <v>2438</v>
      </c>
      <c r="AU246" s="44" t="s">
        <v>2480</v>
      </c>
      <c r="AV246" s="31" t="s">
        <v>2486</v>
      </c>
      <c r="AX246" s="41">
        <f t="shared" si="222"/>
        <v>0</v>
      </c>
      <c r="AY246" s="41">
        <f t="shared" si="223"/>
        <v>0</v>
      </c>
      <c r="AZ246" s="41">
        <v>0</v>
      </c>
      <c r="BA246" s="41">
        <f t="shared" si="224"/>
        <v>0</v>
      </c>
      <c r="BC246" s="21">
        <f t="shared" si="225"/>
        <v>0</v>
      </c>
      <c r="BD246" s="21">
        <f t="shared" si="226"/>
        <v>0</v>
      </c>
      <c r="BE246" s="21">
        <f t="shared" si="227"/>
        <v>0</v>
      </c>
      <c r="BF246" s="21" t="s">
        <v>2492</v>
      </c>
      <c r="BG246" s="41">
        <v>728</v>
      </c>
    </row>
    <row r="247" spans="1:59" x14ac:dyDescent="0.3">
      <c r="A247" s="4" t="s">
        <v>231</v>
      </c>
      <c r="B247" s="13"/>
      <c r="C247" s="13" t="s">
        <v>1136</v>
      </c>
      <c r="D247" s="101" t="s">
        <v>1812</v>
      </c>
      <c r="E247" s="102"/>
      <c r="F247" s="13" t="s">
        <v>2384</v>
      </c>
      <c r="G247" s="21">
        <v>1</v>
      </c>
      <c r="H247" s="21">
        <v>0</v>
      </c>
      <c r="I247" s="21">
        <f t="shared" si="202"/>
        <v>0</v>
      </c>
      <c r="J247" s="21">
        <f t="shared" si="203"/>
        <v>0</v>
      </c>
      <c r="K247" s="21">
        <f t="shared" si="204"/>
        <v>0</v>
      </c>
      <c r="L247" s="21">
        <v>0</v>
      </c>
      <c r="M247" s="21">
        <f t="shared" si="205"/>
        <v>0</v>
      </c>
      <c r="N247" s="35"/>
      <c r="O247" s="39"/>
      <c r="U247" s="41">
        <f t="shared" si="206"/>
        <v>0</v>
      </c>
      <c r="W247" s="41">
        <f t="shared" si="207"/>
        <v>0</v>
      </c>
      <c r="X247" s="41">
        <f t="shared" si="208"/>
        <v>0</v>
      </c>
      <c r="Y247" s="41">
        <f t="shared" si="209"/>
        <v>0</v>
      </c>
      <c r="Z247" s="41">
        <f t="shared" si="210"/>
        <v>0</v>
      </c>
      <c r="AA247" s="41">
        <f t="shared" si="211"/>
        <v>0</v>
      </c>
      <c r="AB247" s="41">
        <f t="shared" si="212"/>
        <v>0</v>
      </c>
      <c r="AC247" s="41">
        <f t="shared" si="213"/>
        <v>0</v>
      </c>
      <c r="AD247" s="31"/>
      <c r="AE247" s="21">
        <f t="shared" si="214"/>
        <v>0</v>
      </c>
      <c r="AF247" s="21">
        <f t="shared" si="215"/>
        <v>0</v>
      </c>
      <c r="AG247" s="21">
        <f t="shared" si="216"/>
        <v>0</v>
      </c>
      <c r="AI247" s="41">
        <v>21</v>
      </c>
      <c r="AJ247" s="41">
        <f t="shared" si="217"/>
        <v>0</v>
      </c>
      <c r="AK247" s="41">
        <f t="shared" si="218"/>
        <v>0</v>
      </c>
      <c r="AL247" s="42" t="s">
        <v>13</v>
      </c>
      <c r="AQ247" s="41">
        <f t="shared" si="219"/>
        <v>0</v>
      </c>
      <c r="AR247" s="41">
        <f t="shared" si="220"/>
        <v>0</v>
      </c>
      <c r="AS247" s="41">
        <f t="shared" si="221"/>
        <v>0</v>
      </c>
      <c r="AT247" s="44" t="s">
        <v>2438</v>
      </c>
      <c r="AU247" s="44" t="s">
        <v>2480</v>
      </c>
      <c r="AV247" s="31" t="s">
        <v>2486</v>
      </c>
      <c r="AX247" s="41">
        <f t="shared" si="222"/>
        <v>0</v>
      </c>
      <c r="AY247" s="41">
        <f t="shared" si="223"/>
        <v>0</v>
      </c>
      <c r="AZ247" s="41">
        <v>0</v>
      </c>
      <c r="BA247" s="41">
        <f t="shared" si="224"/>
        <v>0</v>
      </c>
      <c r="BC247" s="21">
        <f t="shared" si="225"/>
        <v>0</v>
      </c>
      <c r="BD247" s="21">
        <f t="shared" si="226"/>
        <v>0</v>
      </c>
      <c r="BE247" s="21">
        <f t="shared" si="227"/>
        <v>0</v>
      </c>
      <c r="BF247" s="21" t="s">
        <v>2492</v>
      </c>
      <c r="BG247" s="41">
        <v>728</v>
      </c>
    </row>
    <row r="248" spans="1:59" x14ac:dyDescent="0.3">
      <c r="A248" s="4" t="s">
        <v>232</v>
      </c>
      <c r="B248" s="13"/>
      <c r="C248" s="13" t="s">
        <v>1136</v>
      </c>
      <c r="D248" s="101" t="s">
        <v>1813</v>
      </c>
      <c r="E248" s="102"/>
      <c r="F248" s="13" t="s">
        <v>2384</v>
      </c>
      <c r="G248" s="21">
        <v>1</v>
      </c>
      <c r="H248" s="21">
        <v>0</v>
      </c>
      <c r="I248" s="21">
        <f t="shared" si="202"/>
        <v>0</v>
      </c>
      <c r="J248" s="21">
        <f t="shared" si="203"/>
        <v>0</v>
      </c>
      <c r="K248" s="21">
        <f t="shared" si="204"/>
        <v>0</v>
      </c>
      <c r="L248" s="21">
        <v>0</v>
      </c>
      <c r="M248" s="21">
        <f t="shared" si="205"/>
        <v>0</v>
      </c>
      <c r="N248" s="35"/>
      <c r="O248" s="39"/>
      <c r="U248" s="41">
        <f t="shared" si="206"/>
        <v>0</v>
      </c>
      <c r="W248" s="41">
        <f t="shared" si="207"/>
        <v>0</v>
      </c>
      <c r="X248" s="41">
        <f t="shared" si="208"/>
        <v>0</v>
      </c>
      <c r="Y248" s="41">
        <f t="shared" si="209"/>
        <v>0</v>
      </c>
      <c r="Z248" s="41">
        <f t="shared" si="210"/>
        <v>0</v>
      </c>
      <c r="AA248" s="41">
        <f t="shared" si="211"/>
        <v>0</v>
      </c>
      <c r="AB248" s="41">
        <f t="shared" si="212"/>
        <v>0</v>
      </c>
      <c r="AC248" s="41">
        <f t="shared" si="213"/>
        <v>0</v>
      </c>
      <c r="AD248" s="31"/>
      <c r="AE248" s="21">
        <f t="shared" si="214"/>
        <v>0</v>
      </c>
      <c r="AF248" s="21">
        <f t="shared" si="215"/>
        <v>0</v>
      </c>
      <c r="AG248" s="21">
        <f t="shared" si="216"/>
        <v>0</v>
      </c>
      <c r="AI248" s="41">
        <v>21</v>
      </c>
      <c r="AJ248" s="41">
        <f t="shared" si="217"/>
        <v>0</v>
      </c>
      <c r="AK248" s="41">
        <f t="shared" si="218"/>
        <v>0</v>
      </c>
      <c r="AL248" s="42" t="s">
        <v>13</v>
      </c>
      <c r="AQ248" s="41">
        <f t="shared" si="219"/>
        <v>0</v>
      </c>
      <c r="AR248" s="41">
        <f t="shared" si="220"/>
        <v>0</v>
      </c>
      <c r="AS248" s="41">
        <f t="shared" si="221"/>
        <v>0</v>
      </c>
      <c r="AT248" s="44" t="s">
        <v>2438</v>
      </c>
      <c r="AU248" s="44" t="s">
        <v>2480</v>
      </c>
      <c r="AV248" s="31" t="s">
        <v>2486</v>
      </c>
      <c r="AX248" s="41">
        <f t="shared" si="222"/>
        <v>0</v>
      </c>
      <c r="AY248" s="41">
        <f t="shared" si="223"/>
        <v>0</v>
      </c>
      <c r="AZ248" s="41">
        <v>0</v>
      </c>
      <c r="BA248" s="41">
        <f t="shared" si="224"/>
        <v>0</v>
      </c>
      <c r="BC248" s="21">
        <f t="shared" si="225"/>
        <v>0</v>
      </c>
      <c r="BD248" s="21">
        <f t="shared" si="226"/>
        <v>0</v>
      </c>
      <c r="BE248" s="21">
        <f t="shared" si="227"/>
        <v>0</v>
      </c>
      <c r="BF248" s="21" t="s">
        <v>2492</v>
      </c>
      <c r="BG248" s="41">
        <v>728</v>
      </c>
    </row>
    <row r="249" spans="1:59" x14ac:dyDescent="0.3">
      <c r="A249" s="4" t="s">
        <v>233</v>
      </c>
      <c r="B249" s="13"/>
      <c r="C249" s="13" t="s">
        <v>1136</v>
      </c>
      <c r="D249" s="101" t="s">
        <v>1843</v>
      </c>
      <c r="E249" s="102"/>
      <c r="F249" s="13" t="s">
        <v>2384</v>
      </c>
      <c r="G249" s="21">
        <v>1</v>
      </c>
      <c r="H249" s="21">
        <v>0</v>
      </c>
      <c r="I249" s="21">
        <f t="shared" si="202"/>
        <v>0</v>
      </c>
      <c r="J249" s="21">
        <f t="shared" si="203"/>
        <v>0</v>
      </c>
      <c r="K249" s="21">
        <f t="shared" si="204"/>
        <v>0</v>
      </c>
      <c r="L249" s="21">
        <v>0</v>
      </c>
      <c r="M249" s="21">
        <f t="shared" si="205"/>
        <v>0</v>
      </c>
      <c r="N249" s="35"/>
      <c r="O249" s="39"/>
      <c r="U249" s="41">
        <f t="shared" si="206"/>
        <v>0</v>
      </c>
      <c r="W249" s="41">
        <f t="shared" si="207"/>
        <v>0</v>
      </c>
      <c r="X249" s="41">
        <f t="shared" si="208"/>
        <v>0</v>
      </c>
      <c r="Y249" s="41">
        <f t="shared" si="209"/>
        <v>0</v>
      </c>
      <c r="Z249" s="41">
        <f t="shared" si="210"/>
        <v>0</v>
      </c>
      <c r="AA249" s="41">
        <f t="shared" si="211"/>
        <v>0</v>
      </c>
      <c r="AB249" s="41">
        <f t="shared" si="212"/>
        <v>0</v>
      </c>
      <c r="AC249" s="41">
        <f t="shared" si="213"/>
        <v>0</v>
      </c>
      <c r="AD249" s="31"/>
      <c r="AE249" s="21">
        <f t="shared" si="214"/>
        <v>0</v>
      </c>
      <c r="AF249" s="21">
        <f t="shared" si="215"/>
        <v>0</v>
      </c>
      <c r="AG249" s="21">
        <f t="shared" si="216"/>
        <v>0</v>
      </c>
      <c r="AI249" s="41">
        <v>21</v>
      </c>
      <c r="AJ249" s="41">
        <f t="shared" si="217"/>
        <v>0</v>
      </c>
      <c r="AK249" s="41">
        <f t="shared" si="218"/>
        <v>0</v>
      </c>
      <c r="AL249" s="42" t="s">
        <v>13</v>
      </c>
      <c r="AQ249" s="41">
        <f t="shared" si="219"/>
        <v>0</v>
      </c>
      <c r="AR249" s="41">
        <f t="shared" si="220"/>
        <v>0</v>
      </c>
      <c r="AS249" s="41">
        <f t="shared" si="221"/>
        <v>0</v>
      </c>
      <c r="AT249" s="44" t="s">
        <v>2438</v>
      </c>
      <c r="AU249" s="44" t="s">
        <v>2480</v>
      </c>
      <c r="AV249" s="31" t="s">
        <v>2486</v>
      </c>
      <c r="AX249" s="41">
        <f t="shared" si="222"/>
        <v>0</v>
      </c>
      <c r="AY249" s="41">
        <f t="shared" si="223"/>
        <v>0</v>
      </c>
      <c r="AZ249" s="41">
        <v>0</v>
      </c>
      <c r="BA249" s="41">
        <f t="shared" si="224"/>
        <v>0</v>
      </c>
      <c r="BC249" s="21">
        <f t="shared" si="225"/>
        <v>0</v>
      </c>
      <c r="BD249" s="21">
        <f t="shared" si="226"/>
        <v>0</v>
      </c>
      <c r="BE249" s="21">
        <f t="shared" si="227"/>
        <v>0</v>
      </c>
      <c r="BF249" s="21" t="s">
        <v>2492</v>
      </c>
      <c r="BG249" s="41">
        <v>728</v>
      </c>
    </row>
    <row r="250" spans="1:59" x14ac:dyDescent="0.3">
      <c r="A250" s="4" t="s">
        <v>234</v>
      </c>
      <c r="B250" s="13"/>
      <c r="C250" s="13" t="s">
        <v>1136</v>
      </c>
      <c r="D250" s="101" t="s">
        <v>1844</v>
      </c>
      <c r="E250" s="102"/>
      <c r="F250" s="13" t="s">
        <v>2384</v>
      </c>
      <c r="G250" s="21">
        <v>1</v>
      </c>
      <c r="H250" s="21">
        <v>0</v>
      </c>
      <c r="I250" s="21">
        <f t="shared" si="202"/>
        <v>0</v>
      </c>
      <c r="J250" s="21">
        <f t="shared" si="203"/>
        <v>0</v>
      </c>
      <c r="K250" s="21">
        <f t="shared" si="204"/>
        <v>0</v>
      </c>
      <c r="L250" s="21">
        <v>0</v>
      </c>
      <c r="M250" s="21">
        <f t="shared" si="205"/>
        <v>0</v>
      </c>
      <c r="N250" s="35"/>
      <c r="O250" s="39"/>
      <c r="U250" s="41">
        <f t="shared" si="206"/>
        <v>0</v>
      </c>
      <c r="W250" s="41">
        <f t="shared" si="207"/>
        <v>0</v>
      </c>
      <c r="X250" s="41">
        <f t="shared" si="208"/>
        <v>0</v>
      </c>
      <c r="Y250" s="41">
        <f t="shared" si="209"/>
        <v>0</v>
      </c>
      <c r="Z250" s="41">
        <f t="shared" si="210"/>
        <v>0</v>
      </c>
      <c r="AA250" s="41">
        <f t="shared" si="211"/>
        <v>0</v>
      </c>
      <c r="AB250" s="41">
        <f t="shared" si="212"/>
        <v>0</v>
      </c>
      <c r="AC250" s="41">
        <f t="shared" si="213"/>
        <v>0</v>
      </c>
      <c r="AD250" s="31"/>
      <c r="AE250" s="21">
        <f t="shared" si="214"/>
        <v>0</v>
      </c>
      <c r="AF250" s="21">
        <f t="shared" si="215"/>
        <v>0</v>
      </c>
      <c r="AG250" s="21">
        <f t="shared" si="216"/>
        <v>0</v>
      </c>
      <c r="AI250" s="41">
        <v>21</v>
      </c>
      <c r="AJ250" s="41">
        <f t="shared" si="217"/>
        <v>0</v>
      </c>
      <c r="AK250" s="41">
        <f t="shared" si="218"/>
        <v>0</v>
      </c>
      <c r="AL250" s="42" t="s">
        <v>13</v>
      </c>
      <c r="AQ250" s="41">
        <f t="shared" si="219"/>
        <v>0</v>
      </c>
      <c r="AR250" s="41">
        <f t="shared" si="220"/>
        <v>0</v>
      </c>
      <c r="AS250" s="41">
        <f t="shared" si="221"/>
        <v>0</v>
      </c>
      <c r="AT250" s="44" t="s">
        <v>2438</v>
      </c>
      <c r="AU250" s="44" t="s">
        <v>2480</v>
      </c>
      <c r="AV250" s="31" t="s">
        <v>2486</v>
      </c>
      <c r="AX250" s="41">
        <f t="shared" si="222"/>
        <v>0</v>
      </c>
      <c r="AY250" s="41">
        <f t="shared" si="223"/>
        <v>0</v>
      </c>
      <c r="AZ250" s="41">
        <v>0</v>
      </c>
      <c r="BA250" s="41">
        <f t="shared" si="224"/>
        <v>0</v>
      </c>
      <c r="BC250" s="21">
        <f t="shared" si="225"/>
        <v>0</v>
      </c>
      <c r="BD250" s="21">
        <f t="shared" si="226"/>
        <v>0</v>
      </c>
      <c r="BE250" s="21">
        <f t="shared" si="227"/>
        <v>0</v>
      </c>
      <c r="BF250" s="21" t="s">
        <v>2492</v>
      </c>
      <c r="BG250" s="41">
        <v>728</v>
      </c>
    </row>
    <row r="251" spans="1:59" x14ac:dyDescent="0.3">
      <c r="A251" s="4" t="s">
        <v>235</v>
      </c>
      <c r="B251" s="13"/>
      <c r="C251" s="13" t="s">
        <v>1136</v>
      </c>
      <c r="D251" s="101" t="s">
        <v>1843</v>
      </c>
      <c r="E251" s="102"/>
      <c r="F251" s="13" t="s">
        <v>2384</v>
      </c>
      <c r="G251" s="21">
        <v>1</v>
      </c>
      <c r="H251" s="21">
        <v>0</v>
      </c>
      <c r="I251" s="21">
        <f t="shared" si="202"/>
        <v>0</v>
      </c>
      <c r="J251" s="21">
        <f t="shared" si="203"/>
        <v>0</v>
      </c>
      <c r="K251" s="21">
        <f t="shared" si="204"/>
        <v>0</v>
      </c>
      <c r="L251" s="21">
        <v>0</v>
      </c>
      <c r="M251" s="21">
        <f t="shared" si="205"/>
        <v>0</v>
      </c>
      <c r="N251" s="35"/>
      <c r="O251" s="39"/>
      <c r="U251" s="41">
        <f t="shared" si="206"/>
        <v>0</v>
      </c>
      <c r="W251" s="41">
        <f t="shared" si="207"/>
        <v>0</v>
      </c>
      <c r="X251" s="41">
        <f t="shared" si="208"/>
        <v>0</v>
      </c>
      <c r="Y251" s="41">
        <f t="shared" si="209"/>
        <v>0</v>
      </c>
      <c r="Z251" s="41">
        <f t="shared" si="210"/>
        <v>0</v>
      </c>
      <c r="AA251" s="41">
        <f t="shared" si="211"/>
        <v>0</v>
      </c>
      <c r="AB251" s="41">
        <f t="shared" si="212"/>
        <v>0</v>
      </c>
      <c r="AC251" s="41">
        <f t="shared" si="213"/>
        <v>0</v>
      </c>
      <c r="AD251" s="31"/>
      <c r="AE251" s="21">
        <f t="shared" si="214"/>
        <v>0</v>
      </c>
      <c r="AF251" s="21">
        <f t="shared" si="215"/>
        <v>0</v>
      </c>
      <c r="AG251" s="21">
        <f t="shared" si="216"/>
        <v>0</v>
      </c>
      <c r="AI251" s="41">
        <v>21</v>
      </c>
      <c r="AJ251" s="41">
        <f t="shared" si="217"/>
        <v>0</v>
      </c>
      <c r="AK251" s="41">
        <f t="shared" si="218"/>
        <v>0</v>
      </c>
      <c r="AL251" s="42" t="s">
        <v>13</v>
      </c>
      <c r="AQ251" s="41">
        <f t="shared" si="219"/>
        <v>0</v>
      </c>
      <c r="AR251" s="41">
        <f t="shared" si="220"/>
        <v>0</v>
      </c>
      <c r="AS251" s="41">
        <f t="shared" si="221"/>
        <v>0</v>
      </c>
      <c r="AT251" s="44" t="s">
        <v>2438</v>
      </c>
      <c r="AU251" s="44" t="s">
        <v>2480</v>
      </c>
      <c r="AV251" s="31" t="s">
        <v>2486</v>
      </c>
      <c r="AX251" s="41">
        <f t="shared" si="222"/>
        <v>0</v>
      </c>
      <c r="AY251" s="41">
        <f t="shared" si="223"/>
        <v>0</v>
      </c>
      <c r="AZ251" s="41">
        <v>0</v>
      </c>
      <c r="BA251" s="41">
        <f t="shared" si="224"/>
        <v>0</v>
      </c>
      <c r="BC251" s="21">
        <f t="shared" si="225"/>
        <v>0</v>
      </c>
      <c r="BD251" s="21">
        <f t="shared" si="226"/>
        <v>0</v>
      </c>
      <c r="BE251" s="21">
        <f t="shared" si="227"/>
        <v>0</v>
      </c>
      <c r="BF251" s="21" t="s">
        <v>2492</v>
      </c>
      <c r="BG251" s="41">
        <v>728</v>
      </c>
    </row>
    <row r="252" spans="1:59" x14ac:dyDescent="0.3">
      <c r="A252" s="4" t="s">
        <v>236</v>
      </c>
      <c r="B252" s="13"/>
      <c r="C252" s="13" t="s">
        <v>1136</v>
      </c>
      <c r="D252" s="101" t="s">
        <v>1814</v>
      </c>
      <c r="E252" s="102"/>
      <c r="F252" s="13" t="s">
        <v>2384</v>
      </c>
      <c r="G252" s="21">
        <v>1</v>
      </c>
      <c r="H252" s="21">
        <v>0</v>
      </c>
      <c r="I252" s="21">
        <f t="shared" si="202"/>
        <v>0</v>
      </c>
      <c r="J252" s="21">
        <f t="shared" si="203"/>
        <v>0</v>
      </c>
      <c r="K252" s="21">
        <f t="shared" si="204"/>
        <v>0</v>
      </c>
      <c r="L252" s="21">
        <v>0</v>
      </c>
      <c r="M252" s="21">
        <f t="shared" si="205"/>
        <v>0</v>
      </c>
      <c r="N252" s="35"/>
      <c r="O252" s="39"/>
      <c r="U252" s="41">
        <f t="shared" si="206"/>
        <v>0</v>
      </c>
      <c r="W252" s="41">
        <f t="shared" si="207"/>
        <v>0</v>
      </c>
      <c r="X252" s="41">
        <f t="shared" si="208"/>
        <v>0</v>
      </c>
      <c r="Y252" s="41">
        <f t="shared" si="209"/>
        <v>0</v>
      </c>
      <c r="Z252" s="41">
        <f t="shared" si="210"/>
        <v>0</v>
      </c>
      <c r="AA252" s="41">
        <f t="shared" si="211"/>
        <v>0</v>
      </c>
      <c r="AB252" s="41">
        <f t="shared" si="212"/>
        <v>0</v>
      </c>
      <c r="AC252" s="41">
        <f t="shared" si="213"/>
        <v>0</v>
      </c>
      <c r="AD252" s="31"/>
      <c r="AE252" s="21">
        <f t="shared" si="214"/>
        <v>0</v>
      </c>
      <c r="AF252" s="21">
        <f t="shared" si="215"/>
        <v>0</v>
      </c>
      <c r="AG252" s="21">
        <f t="shared" si="216"/>
        <v>0</v>
      </c>
      <c r="AI252" s="41">
        <v>21</v>
      </c>
      <c r="AJ252" s="41">
        <f t="shared" si="217"/>
        <v>0</v>
      </c>
      <c r="AK252" s="41">
        <f t="shared" si="218"/>
        <v>0</v>
      </c>
      <c r="AL252" s="42" t="s">
        <v>13</v>
      </c>
      <c r="AQ252" s="41">
        <f t="shared" si="219"/>
        <v>0</v>
      </c>
      <c r="AR252" s="41">
        <f t="shared" si="220"/>
        <v>0</v>
      </c>
      <c r="AS252" s="41">
        <f t="shared" si="221"/>
        <v>0</v>
      </c>
      <c r="AT252" s="44" t="s">
        <v>2438</v>
      </c>
      <c r="AU252" s="44" t="s">
        <v>2480</v>
      </c>
      <c r="AV252" s="31" t="s">
        <v>2486</v>
      </c>
      <c r="AX252" s="41">
        <f t="shared" si="222"/>
        <v>0</v>
      </c>
      <c r="AY252" s="41">
        <f t="shared" si="223"/>
        <v>0</v>
      </c>
      <c r="AZ252" s="41">
        <v>0</v>
      </c>
      <c r="BA252" s="41">
        <f t="shared" si="224"/>
        <v>0</v>
      </c>
      <c r="BC252" s="21">
        <f t="shared" si="225"/>
        <v>0</v>
      </c>
      <c r="BD252" s="21">
        <f t="shared" si="226"/>
        <v>0</v>
      </c>
      <c r="BE252" s="21">
        <f t="shared" si="227"/>
        <v>0</v>
      </c>
      <c r="BF252" s="21" t="s">
        <v>2492</v>
      </c>
      <c r="BG252" s="41">
        <v>728</v>
      </c>
    </row>
    <row r="253" spans="1:59" x14ac:dyDescent="0.3">
      <c r="A253" s="4" t="s">
        <v>237</v>
      </c>
      <c r="B253" s="13"/>
      <c r="C253" s="13" t="s">
        <v>1136</v>
      </c>
      <c r="D253" s="101" t="s">
        <v>1814</v>
      </c>
      <c r="E253" s="102"/>
      <c r="F253" s="13" t="s">
        <v>2384</v>
      </c>
      <c r="G253" s="21">
        <v>1</v>
      </c>
      <c r="H253" s="21">
        <v>0</v>
      </c>
      <c r="I253" s="21">
        <f t="shared" si="202"/>
        <v>0</v>
      </c>
      <c r="J253" s="21">
        <f t="shared" si="203"/>
        <v>0</v>
      </c>
      <c r="K253" s="21">
        <f t="shared" si="204"/>
        <v>0</v>
      </c>
      <c r="L253" s="21">
        <v>0</v>
      </c>
      <c r="M253" s="21">
        <f t="shared" si="205"/>
        <v>0</v>
      </c>
      <c r="N253" s="35"/>
      <c r="O253" s="39"/>
      <c r="U253" s="41">
        <f t="shared" si="206"/>
        <v>0</v>
      </c>
      <c r="W253" s="41">
        <f t="shared" si="207"/>
        <v>0</v>
      </c>
      <c r="X253" s="41">
        <f t="shared" si="208"/>
        <v>0</v>
      </c>
      <c r="Y253" s="41">
        <f t="shared" si="209"/>
        <v>0</v>
      </c>
      <c r="Z253" s="41">
        <f t="shared" si="210"/>
        <v>0</v>
      </c>
      <c r="AA253" s="41">
        <f t="shared" si="211"/>
        <v>0</v>
      </c>
      <c r="AB253" s="41">
        <f t="shared" si="212"/>
        <v>0</v>
      </c>
      <c r="AC253" s="41">
        <f t="shared" si="213"/>
        <v>0</v>
      </c>
      <c r="AD253" s="31"/>
      <c r="AE253" s="21">
        <f t="shared" si="214"/>
        <v>0</v>
      </c>
      <c r="AF253" s="21">
        <f t="shared" si="215"/>
        <v>0</v>
      </c>
      <c r="AG253" s="21">
        <f t="shared" si="216"/>
        <v>0</v>
      </c>
      <c r="AI253" s="41">
        <v>21</v>
      </c>
      <c r="AJ253" s="41">
        <f t="shared" si="217"/>
        <v>0</v>
      </c>
      <c r="AK253" s="41">
        <f t="shared" si="218"/>
        <v>0</v>
      </c>
      <c r="AL253" s="42" t="s">
        <v>13</v>
      </c>
      <c r="AQ253" s="41">
        <f t="shared" si="219"/>
        <v>0</v>
      </c>
      <c r="AR253" s="41">
        <f t="shared" si="220"/>
        <v>0</v>
      </c>
      <c r="AS253" s="41">
        <f t="shared" si="221"/>
        <v>0</v>
      </c>
      <c r="AT253" s="44" t="s">
        <v>2438</v>
      </c>
      <c r="AU253" s="44" t="s">
        <v>2480</v>
      </c>
      <c r="AV253" s="31" t="s">
        <v>2486</v>
      </c>
      <c r="AX253" s="41">
        <f t="shared" si="222"/>
        <v>0</v>
      </c>
      <c r="AY253" s="41">
        <f t="shared" si="223"/>
        <v>0</v>
      </c>
      <c r="AZ253" s="41">
        <v>0</v>
      </c>
      <c r="BA253" s="41">
        <f t="shared" si="224"/>
        <v>0</v>
      </c>
      <c r="BC253" s="21">
        <f t="shared" si="225"/>
        <v>0</v>
      </c>
      <c r="BD253" s="21">
        <f t="shared" si="226"/>
        <v>0</v>
      </c>
      <c r="BE253" s="21">
        <f t="shared" si="227"/>
        <v>0</v>
      </c>
      <c r="BF253" s="21" t="s">
        <v>2492</v>
      </c>
      <c r="BG253" s="41">
        <v>728</v>
      </c>
    </row>
    <row r="254" spans="1:59" x14ac:dyDescent="0.3">
      <c r="A254" s="4" t="s">
        <v>238</v>
      </c>
      <c r="B254" s="13"/>
      <c r="C254" s="13" t="s">
        <v>1136</v>
      </c>
      <c r="D254" s="101" t="s">
        <v>1815</v>
      </c>
      <c r="E254" s="102"/>
      <c r="F254" s="13" t="s">
        <v>2384</v>
      </c>
      <c r="G254" s="21">
        <v>1</v>
      </c>
      <c r="H254" s="21">
        <v>0</v>
      </c>
      <c r="I254" s="21">
        <f t="shared" si="202"/>
        <v>0</v>
      </c>
      <c r="J254" s="21">
        <f t="shared" si="203"/>
        <v>0</v>
      </c>
      <c r="K254" s="21">
        <f t="shared" si="204"/>
        <v>0</v>
      </c>
      <c r="L254" s="21">
        <v>0</v>
      </c>
      <c r="M254" s="21">
        <f t="shared" si="205"/>
        <v>0</v>
      </c>
      <c r="N254" s="35"/>
      <c r="O254" s="39"/>
      <c r="U254" s="41">
        <f t="shared" si="206"/>
        <v>0</v>
      </c>
      <c r="W254" s="41">
        <f t="shared" si="207"/>
        <v>0</v>
      </c>
      <c r="X254" s="41">
        <f t="shared" si="208"/>
        <v>0</v>
      </c>
      <c r="Y254" s="41">
        <f t="shared" si="209"/>
        <v>0</v>
      </c>
      <c r="Z254" s="41">
        <f t="shared" si="210"/>
        <v>0</v>
      </c>
      <c r="AA254" s="41">
        <f t="shared" si="211"/>
        <v>0</v>
      </c>
      <c r="AB254" s="41">
        <f t="shared" si="212"/>
        <v>0</v>
      </c>
      <c r="AC254" s="41">
        <f t="shared" si="213"/>
        <v>0</v>
      </c>
      <c r="AD254" s="31"/>
      <c r="AE254" s="21">
        <f t="shared" si="214"/>
        <v>0</v>
      </c>
      <c r="AF254" s="21">
        <f t="shared" si="215"/>
        <v>0</v>
      </c>
      <c r="AG254" s="21">
        <f t="shared" si="216"/>
        <v>0</v>
      </c>
      <c r="AI254" s="41">
        <v>21</v>
      </c>
      <c r="AJ254" s="41">
        <f t="shared" si="217"/>
        <v>0</v>
      </c>
      <c r="AK254" s="41">
        <f t="shared" si="218"/>
        <v>0</v>
      </c>
      <c r="AL254" s="42" t="s">
        <v>13</v>
      </c>
      <c r="AQ254" s="41">
        <f t="shared" si="219"/>
        <v>0</v>
      </c>
      <c r="AR254" s="41">
        <f t="shared" si="220"/>
        <v>0</v>
      </c>
      <c r="AS254" s="41">
        <f t="shared" si="221"/>
        <v>0</v>
      </c>
      <c r="AT254" s="44" t="s">
        <v>2438</v>
      </c>
      <c r="AU254" s="44" t="s">
        <v>2480</v>
      </c>
      <c r="AV254" s="31" t="s">
        <v>2486</v>
      </c>
      <c r="AX254" s="41">
        <f t="shared" si="222"/>
        <v>0</v>
      </c>
      <c r="AY254" s="41">
        <f t="shared" si="223"/>
        <v>0</v>
      </c>
      <c r="AZ254" s="41">
        <v>0</v>
      </c>
      <c r="BA254" s="41">
        <f t="shared" si="224"/>
        <v>0</v>
      </c>
      <c r="BC254" s="21">
        <f t="shared" si="225"/>
        <v>0</v>
      </c>
      <c r="BD254" s="21">
        <f t="shared" si="226"/>
        <v>0</v>
      </c>
      <c r="BE254" s="21">
        <f t="shared" si="227"/>
        <v>0</v>
      </c>
      <c r="BF254" s="21" t="s">
        <v>2492</v>
      </c>
      <c r="BG254" s="41">
        <v>728</v>
      </c>
    </row>
    <row r="255" spans="1:59" x14ac:dyDescent="0.3">
      <c r="A255" s="4" t="s">
        <v>239</v>
      </c>
      <c r="B255" s="13"/>
      <c r="C255" s="13" t="s">
        <v>1136</v>
      </c>
      <c r="D255" s="101" t="s">
        <v>1815</v>
      </c>
      <c r="E255" s="102"/>
      <c r="F255" s="13" t="s">
        <v>2384</v>
      </c>
      <c r="G255" s="21">
        <v>1</v>
      </c>
      <c r="H255" s="21">
        <v>0</v>
      </c>
      <c r="I255" s="21">
        <f t="shared" si="202"/>
        <v>0</v>
      </c>
      <c r="J255" s="21">
        <f t="shared" si="203"/>
        <v>0</v>
      </c>
      <c r="K255" s="21">
        <f t="shared" si="204"/>
        <v>0</v>
      </c>
      <c r="L255" s="21">
        <v>0</v>
      </c>
      <c r="M255" s="21">
        <f t="shared" si="205"/>
        <v>0</v>
      </c>
      <c r="N255" s="35"/>
      <c r="O255" s="39"/>
      <c r="U255" s="41">
        <f t="shared" si="206"/>
        <v>0</v>
      </c>
      <c r="W255" s="41">
        <f t="shared" si="207"/>
        <v>0</v>
      </c>
      <c r="X255" s="41">
        <f t="shared" si="208"/>
        <v>0</v>
      </c>
      <c r="Y255" s="41">
        <f t="shared" si="209"/>
        <v>0</v>
      </c>
      <c r="Z255" s="41">
        <f t="shared" si="210"/>
        <v>0</v>
      </c>
      <c r="AA255" s="41">
        <f t="shared" si="211"/>
        <v>0</v>
      </c>
      <c r="AB255" s="41">
        <f t="shared" si="212"/>
        <v>0</v>
      </c>
      <c r="AC255" s="41">
        <f t="shared" si="213"/>
        <v>0</v>
      </c>
      <c r="AD255" s="31"/>
      <c r="AE255" s="21">
        <f t="shared" si="214"/>
        <v>0</v>
      </c>
      <c r="AF255" s="21">
        <f t="shared" si="215"/>
        <v>0</v>
      </c>
      <c r="AG255" s="21">
        <f t="shared" si="216"/>
        <v>0</v>
      </c>
      <c r="AI255" s="41">
        <v>21</v>
      </c>
      <c r="AJ255" s="41">
        <f t="shared" si="217"/>
        <v>0</v>
      </c>
      <c r="AK255" s="41">
        <f t="shared" si="218"/>
        <v>0</v>
      </c>
      <c r="AL255" s="42" t="s">
        <v>13</v>
      </c>
      <c r="AQ255" s="41">
        <f t="shared" si="219"/>
        <v>0</v>
      </c>
      <c r="AR255" s="41">
        <f t="shared" si="220"/>
        <v>0</v>
      </c>
      <c r="AS255" s="41">
        <f t="shared" si="221"/>
        <v>0</v>
      </c>
      <c r="AT255" s="44" t="s">
        <v>2438</v>
      </c>
      <c r="AU255" s="44" t="s">
        <v>2480</v>
      </c>
      <c r="AV255" s="31" t="s">
        <v>2486</v>
      </c>
      <c r="AX255" s="41">
        <f t="shared" si="222"/>
        <v>0</v>
      </c>
      <c r="AY255" s="41">
        <f t="shared" si="223"/>
        <v>0</v>
      </c>
      <c r="AZ255" s="41">
        <v>0</v>
      </c>
      <c r="BA255" s="41">
        <f t="shared" si="224"/>
        <v>0</v>
      </c>
      <c r="BC255" s="21">
        <f t="shared" si="225"/>
        <v>0</v>
      </c>
      <c r="BD255" s="21">
        <f t="shared" si="226"/>
        <v>0</v>
      </c>
      <c r="BE255" s="21">
        <f t="shared" si="227"/>
        <v>0</v>
      </c>
      <c r="BF255" s="21" t="s">
        <v>2492</v>
      </c>
      <c r="BG255" s="41">
        <v>728</v>
      </c>
    </row>
    <row r="256" spans="1:59" x14ac:dyDescent="0.3">
      <c r="A256" s="4" t="s">
        <v>240</v>
      </c>
      <c r="B256" s="13"/>
      <c r="C256" s="13" t="s">
        <v>1136</v>
      </c>
      <c r="D256" s="101" t="s">
        <v>1844</v>
      </c>
      <c r="E256" s="102"/>
      <c r="F256" s="13" t="s">
        <v>2384</v>
      </c>
      <c r="G256" s="21">
        <v>1</v>
      </c>
      <c r="H256" s="21">
        <v>0</v>
      </c>
      <c r="I256" s="21">
        <f t="shared" ref="I256:I287" si="228">G256*AJ256</f>
        <v>0</v>
      </c>
      <c r="J256" s="21">
        <f t="shared" ref="J256:J287" si="229">G256*AK256</f>
        <v>0</v>
      </c>
      <c r="K256" s="21">
        <f t="shared" ref="K256:K287" si="230">G256*H256</f>
        <v>0</v>
      </c>
      <c r="L256" s="21">
        <v>0</v>
      </c>
      <c r="M256" s="21">
        <f t="shared" ref="M256:M287" si="231">G256*L256</f>
        <v>0</v>
      </c>
      <c r="N256" s="35"/>
      <c r="O256" s="39"/>
      <c r="U256" s="41">
        <f t="shared" ref="U256:U287" si="232">IF(AL256="5",BE256,0)</f>
        <v>0</v>
      </c>
      <c r="W256" s="41">
        <f t="shared" ref="W256:W287" si="233">IF(AL256="1",BC256,0)</f>
        <v>0</v>
      </c>
      <c r="X256" s="41">
        <f t="shared" ref="X256:X287" si="234">IF(AL256="1",BD256,0)</f>
        <v>0</v>
      </c>
      <c r="Y256" s="41">
        <f t="shared" ref="Y256:Y287" si="235">IF(AL256="7",BC256,0)</f>
        <v>0</v>
      </c>
      <c r="Z256" s="41">
        <f t="shared" ref="Z256:Z287" si="236">IF(AL256="7",BD256,0)</f>
        <v>0</v>
      </c>
      <c r="AA256" s="41">
        <f t="shared" ref="AA256:AA287" si="237">IF(AL256="2",BC256,0)</f>
        <v>0</v>
      </c>
      <c r="AB256" s="41">
        <f t="shared" ref="AB256:AB287" si="238">IF(AL256="2",BD256,0)</f>
        <v>0</v>
      </c>
      <c r="AC256" s="41">
        <f t="shared" ref="AC256:AC287" si="239">IF(AL256="0",BE256,0)</f>
        <v>0</v>
      </c>
      <c r="AD256" s="31"/>
      <c r="AE256" s="21">
        <f t="shared" ref="AE256:AE287" si="240">IF(AI256=0,K256,0)</f>
        <v>0</v>
      </c>
      <c r="AF256" s="21">
        <f t="shared" ref="AF256:AF287" si="241">IF(AI256=15,K256,0)</f>
        <v>0</v>
      </c>
      <c r="AG256" s="21">
        <f t="shared" ref="AG256:AG287" si="242">IF(AI256=21,K256,0)</f>
        <v>0</v>
      </c>
      <c r="AI256" s="41">
        <v>21</v>
      </c>
      <c r="AJ256" s="41">
        <f t="shared" ref="AJ256:AJ287" si="243">H256*0</f>
        <v>0</v>
      </c>
      <c r="AK256" s="41">
        <f t="shared" ref="AK256:AK287" si="244">H256*(1-0)</f>
        <v>0</v>
      </c>
      <c r="AL256" s="42" t="s">
        <v>13</v>
      </c>
      <c r="AQ256" s="41">
        <f t="shared" ref="AQ256:AQ287" si="245">AR256+AS256</f>
        <v>0</v>
      </c>
      <c r="AR256" s="41">
        <f t="shared" ref="AR256:AR287" si="246">G256*AJ256</f>
        <v>0</v>
      </c>
      <c r="AS256" s="41">
        <f t="shared" ref="AS256:AS287" si="247">G256*AK256</f>
        <v>0</v>
      </c>
      <c r="AT256" s="44" t="s">
        <v>2438</v>
      </c>
      <c r="AU256" s="44" t="s">
        <v>2480</v>
      </c>
      <c r="AV256" s="31" t="s">
        <v>2486</v>
      </c>
      <c r="AX256" s="41">
        <f t="shared" ref="AX256:AX287" si="248">AR256+AS256</f>
        <v>0</v>
      </c>
      <c r="AY256" s="41">
        <f t="shared" ref="AY256:AY287" si="249">H256/(100-AZ256)*100</f>
        <v>0</v>
      </c>
      <c r="AZ256" s="41">
        <v>0</v>
      </c>
      <c r="BA256" s="41">
        <f t="shared" ref="BA256:BA287" si="250">M256</f>
        <v>0</v>
      </c>
      <c r="BC256" s="21">
        <f t="shared" ref="BC256:BC287" si="251">G256*AJ256</f>
        <v>0</v>
      </c>
      <c r="BD256" s="21">
        <f t="shared" ref="BD256:BD287" si="252">G256*AK256</f>
        <v>0</v>
      </c>
      <c r="BE256" s="21">
        <f t="shared" ref="BE256:BE287" si="253">G256*H256</f>
        <v>0</v>
      </c>
      <c r="BF256" s="21" t="s">
        <v>2492</v>
      </c>
      <c r="BG256" s="41">
        <v>728</v>
      </c>
    </row>
    <row r="257" spans="1:59" x14ac:dyDescent="0.3">
      <c r="A257" s="4" t="s">
        <v>241</v>
      </c>
      <c r="B257" s="13"/>
      <c r="C257" s="13" t="s">
        <v>1136</v>
      </c>
      <c r="D257" s="101" t="s">
        <v>1816</v>
      </c>
      <c r="E257" s="102"/>
      <c r="F257" s="13" t="s">
        <v>2384</v>
      </c>
      <c r="G257" s="21">
        <v>2</v>
      </c>
      <c r="H257" s="21">
        <v>0</v>
      </c>
      <c r="I257" s="21">
        <f t="shared" si="228"/>
        <v>0</v>
      </c>
      <c r="J257" s="21">
        <f t="shared" si="229"/>
        <v>0</v>
      </c>
      <c r="K257" s="21">
        <f t="shared" si="230"/>
        <v>0</v>
      </c>
      <c r="L257" s="21">
        <v>0</v>
      </c>
      <c r="M257" s="21">
        <f t="shared" si="231"/>
        <v>0</v>
      </c>
      <c r="N257" s="35"/>
      <c r="O257" s="39"/>
      <c r="U257" s="41">
        <f t="shared" si="232"/>
        <v>0</v>
      </c>
      <c r="W257" s="41">
        <f t="shared" si="233"/>
        <v>0</v>
      </c>
      <c r="X257" s="41">
        <f t="shared" si="234"/>
        <v>0</v>
      </c>
      <c r="Y257" s="41">
        <f t="shared" si="235"/>
        <v>0</v>
      </c>
      <c r="Z257" s="41">
        <f t="shared" si="236"/>
        <v>0</v>
      </c>
      <c r="AA257" s="41">
        <f t="shared" si="237"/>
        <v>0</v>
      </c>
      <c r="AB257" s="41">
        <f t="shared" si="238"/>
        <v>0</v>
      </c>
      <c r="AC257" s="41">
        <f t="shared" si="239"/>
        <v>0</v>
      </c>
      <c r="AD257" s="31"/>
      <c r="AE257" s="21">
        <f t="shared" si="240"/>
        <v>0</v>
      </c>
      <c r="AF257" s="21">
        <f t="shared" si="241"/>
        <v>0</v>
      </c>
      <c r="AG257" s="21">
        <f t="shared" si="242"/>
        <v>0</v>
      </c>
      <c r="AI257" s="41">
        <v>21</v>
      </c>
      <c r="AJ257" s="41">
        <f t="shared" si="243"/>
        <v>0</v>
      </c>
      <c r="AK257" s="41">
        <f t="shared" si="244"/>
        <v>0</v>
      </c>
      <c r="AL257" s="42" t="s">
        <v>13</v>
      </c>
      <c r="AQ257" s="41">
        <f t="shared" si="245"/>
        <v>0</v>
      </c>
      <c r="AR257" s="41">
        <f t="shared" si="246"/>
        <v>0</v>
      </c>
      <c r="AS257" s="41">
        <f t="shared" si="247"/>
        <v>0</v>
      </c>
      <c r="AT257" s="44" t="s">
        <v>2438</v>
      </c>
      <c r="AU257" s="44" t="s">
        <v>2480</v>
      </c>
      <c r="AV257" s="31" t="s">
        <v>2486</v>
      </c>
      <c r="AX257" s="41">
        <f t="shared" si="248"/>
        <v>0</v>
      </c>
      <c r="AY257" s="41">
        <f t="shared" si="249"/>
        <v>0</v>
      </c>
      <c r="AZ257" s="41">
        <v>0</v>
      </c>
      <c r="BA257" s="41">
        <f t="shared" si="250"/>
        <v>0</v>
      </c>
      <c r="BC257" s="21">
        <f t="shared" si="251"/>
        <v>0</v>
      </c>
      <c r="BD257" s="21">
        <f t="shared" si="252"/>
        <v>0</v>
      </c>
      <c r="BE257" s="21">
        <f t="shared" si="253"/>
        <v>0</v>
      </c>
      <c r="BF257" s="21" t="s">
        <v>2492</v>
      </c>
      <c r="BG257" s="41">
        <v>728</v>
      </c>
    </row>
    <row r="258" spans="1:59" x14ac:dyDescent="0.3">
      <c r="A258" s="4" t="s">
        <v>242</v>
      </c>
      <c r="B258" s="13"/>
      <c r="C258" s="13" t="s">
        <v>1136</v>
      </c>
      <c r="D258" s="101" t="s">
        <v>1845</v>
      </c>
      <c r="E258" s="102"/>
      <c r="F258" s="13" t="s">
        <v>2384</v>
      </c>
      <c r="G258" s="21">
        <v>1</v>
      </c>
      <c r="H258" s="21">
        <v>0</v>
      </c>
      <c r="I258" s="21">
        <f t="shared" si="228"/>
        <v>0</v>
      </c>
      <c r="J258" s="21">
        <f t="shared" si="229"/>
        <v>0</v>
      </c>
      <c r="K258" s="21">
        <f t="shared" si="230"/>
        <v>0</v>
      </c>
      <c r="L258" s="21">
        <v>0</v>
      </c>
      <c r="M258" s="21">
        <f t="shared" si="231"/>
        <v>0</v>
      </c>
      <c r="N258" s="35"/>
      <c r="O258" s="39"/>
      <c r="U258" s="41">
        <f t="shared" si="232"/>
        <v>0</v>
      </c>
      <c r="W258" s="41">
        <f t="shared" si="233"/>
        <v>0</v>
      </c>
      <c r="X258" s="41">
        <f t="shared" si="234"/>
        <v>0</v>
      </c>
      <c r="Y258" s="41">
        <f t="shared" si="235"/>
        <v>0</v>
      </c>
      <c r="Z258" s="41">
        <f t="shared" si="236"/>
        <v>0</v>
      </c>
      <c r="AA258" s="41">
        <f t="shared" si="237"/>
        <v>0</v>
      </c>
      <c r="AB258" s="41">
        <f t="shared" si="238"/>
        <v>0</v>
      </c>
      <c r="AC258" s="41">
        <f t="shared" si="239"/>
        <v>0</v>
      </c>
      <c r="AD258" s="31"/>
      <c r="AE258" s="21">
        <f t="shared" si="240"/>
        <v>0</v>
      </c>
      <c r="AF258" s="21">
        <f t="shared" si="241"/>
        <v>0</v>
      </c>
      <c r="AG258" s="21">
        <f t="shared" si="242"/>
        <v>0</v>
      </c>
      <c r="AI258" s="41">
        <v>21</v>
      </c>
      <c r="AJ258" s="41">
        <f t="shared" si="243"/>
        <v>0</v>
      </c>
      <c r="AK258" s="41">
        <f t="shared" si="244"/>
        <v>0</v>
      </c>
      <c r="AL258" s="42" t="s">
        <v>13</v>
      </c>
      <c r="AQ258" s="41">
        <f t="shared" si="245"/>
        <v>0</v>
      </c>
      <c r="AR258" s="41">
        <f t="shared" si="246"/>
        <v>0</v>
      </c>
      <c r="AS258" s="41">
        <f t="shared" si="247"/>
        <v>0</v>
      </c>
      <c r="AT258" s="44" t="s">
        <v>2438</v>
      </c>
      <c r="AU258" s="44" t="s">
        <v>2480</v>
      </c>
      <c r="AV258" s="31" t="s">
        <v>2486</v>
      </c>
      <c r="AX258" s="41">
        <f t="shared" si="248"/>
        <v>0</v>
      </c>
      <c r="AY258" s="41">
        <f t="shared" si="249"/>
        <v>0</v>
      </c>
      <c r="AZ258" s="41">
        <v>0</v>
      </c>
      <c r="BA258" s="41">
        <f t="shared" si="250"/>
        <v>0</v>
      </c>
      <c r="BC258" s="21">
        <f t="shared" si="251"/>
        <v>0</v>
      </c>
      <c r="BD258" s="21">
        <f t="shared" si="252"/>
        <v>0</v>
      </c>
      <c r="BE258" s="21">
        <f t="shared" si="253"/>
        <v>0</v>
      </c>
      <c r="BF258" s="21" t="s">
        <v>2492</v>
      </c>
      <c r="BG258" s="41">
        <v>728</v>
      </c>
    </row>
    <row r="259" spans="1:59" x14ac:dyDescent="0.3">
      <c r="A259" s="4" t="s">
        <v>243</v>
      </c>
      <c r="B259" s="13"/>
      <c r="C259" s="13" t="s">
        <v>1136</v>
      </c>
      <c r="D259" s="101" t="s">
        <v>1845</v>
      </c>
      <c r="E259" s="102"/>
      <c r="F259" s="13" t="s">
        <v>2384</v>
      </c>
      <c r="G259" s="21">
        <v>1</v>
      </c>
      <c r="H259" s="21">
        <v>0</v>
      </c>
      <c r="I259" s="21">
        <f t="shared" si="228"/>
        <v>0</v>
      </c>
      <c r="J259" s="21">
        <f t="shared" si="229"/>
        <v>0</v>
      </c>
      <c r="K259" s="21">
        <f t="shared" si="230"/>
        <v>0</v>
      </c>
      <c r="L259" s="21">
        <v>0</v>
      </c>
      <c r="M259" s="21">
        <f t="shared" si="231"/>
        <v>0</v>
      </c>
      <c r="N259" s="35"/>
      <c r="O259" s="39"/>
      <c r="U259" s="41">
        <f t="shared" si="232"/>
        <v>0</v>
      </c>
      <c r="W259" s="41">
        <f t="shared" si="233"/>
        <v>0</v>
      </c>
      <c r="X259" s="41">
        <f t="shared" si="234"/>
        <v>0</v>
      </c>
      <c r="Y259" s="41">
        <f t="shared" si="235"/>
        <v>0</v>
      </c>
      <c r="Z259" s="41">
        <f t="shared" si="236"/>
        <v>0</v>
      </c>
      <c r="AA259" s="41">
        <f t="shared" si="237"/>
        <v>0</v>
      </c>
      <c r="AB259" s="41">
        <f t="shared" si="238"/>
        <v>0</v>
      </c>
      <c r="AC259" s="41">
        <f t="shared" si="239"/>
        <v>0</v>
      </c>
      <c r="AD259" s="31"/>
      <c r="AE259" s="21">
        <f t="shared" si="240"/>
        <v>0</v>
      </c>
      <c r="AF259" s="21">
        <f t="shared" si="241"/>
        <v>0</v>
      </c>
      <c r="AG259" s="21">
        <f t="shared" si="242"/>
        <v>0</v>
      </c>
      <c r="AI259" s="41">
        <v>21</v>
      </c>
      <c r="AJ259" s="41">
        <f t="shared" si="243"/>
        <v>0</v>
      </c>
      <c r="AK259" s="41">
        <f t="shared" si="244"/>
        <v>0</v>
      </c>
      <c r="AL259" s="42" t="s">
        <v>13</v>
      </c>
      <c r="AQ259" s="41">
        <f t="shared" si="245"/>
        <v>0</v>
      </c>
      <c r="AR259" s="41">
        <f t="shared" si="246"/>
        <v>0</v>
      </c>
      <c r="AS259" s="41">
        <f t="shared" si="247"/>
        <v>0</v>
      </c>
      <c r="AT259" s="44" t="s">
        <v>2438</v>
      </c>
      <c r="AU259" s="44" t="s">
        <v>2480</v>
      </c>
      <c r="AV259" s="31" t="s">
        <v>2486</v>
      </c>
      <c r="AX259" s="41">
        <f t="shared" si="248"/>
        <v>0</v>
      </c>
      <c r="AY259" s="41">
        <f t="shared" si="249"/>
        <v>0</v>
      </c>
      <c r="AZ259" s="41">
        <v>0</v>
      </c>
      <c r="BA259" s="41">
        <f t="shared" si="250"/>
        <v>0</v>
      </c>
      <c r="BC259" s="21">
        <f t="shared" si="251"/>
        <v>0</v>
      </c>
      <c r="BD259" s="21">
        <f t="shared" si="252"/>
        <v>0</v>
      </c>
      <c r="BE259" s="21">
        <f t="shared" si="253"/>
        <v>0</v>
      </c>
      <c r="BF259" s="21" t="s">
        <v>2492</v>
      </c>
      <c r="BG259" s="41">
        <v>728</v>
      </c>
    </row>
    <row r="260" spans="1:59" x14ac:dyDescent="0.3">
      <c r="A260" s="4" t="s">
        <v>244</v>
      </c>
      <c r="B260" s="13"/>
      <c r="C260" s="13" t="s">
        <v>1136</v>
      </c>
      <c r="D260" s="101" t="s">
        <v>1825</v>
      </c>
      <c r="E260" s="102"/>
      <c r="F260" s="13" t="s">
        <v>2384</v>
      </c>
      <c r="G260" s="21">
        <v>2</v>
      </c>
      <c r="H260" s="21">
        <v>0</v>
      </c>
      <c r="I260" s="21">
        <f t="shared" si="228"/>
        <v>0</v>
      </c>
      <c r="J260" s="21">
        <f t="shared" si="229"/>
        <v>0</v>
      </c>
      <c r="K260" s="21">
        <f t="shared" si="230"/>
        <v>0</v>
      </c>
      <c r="L260" s="21">
        <v>0</v>
      </c>
      <c r="M260" s="21">
        <f t="shared" si="231"/>
        <v>0</v>
      </c>
      <c r="N260" s="35"/>
      <c r="O260" s="39"/>
      <c r="U260" s="41">
        <f t="shared" si="232"/>
        <v>0</v>
      </c>
      <c r="W260" s="41">
        <f t="shared" si="233"/>
        <v>0</v>
      </c>
      <c r="X260" s="41">
        <f t="shared" si="234"/>
        <v>0</v>
      </c>
      <c r="Y260" s="41">
        <f t="shared" si="235"/>
        <v>0</v>
      </c>
      <c r="Z260" s="41">
        <f t="shared" si="236"/>
        <v>0</v>
      </c>
      <c r="AA260" s="41">
        <f t="shared" si="237"/>
        <v>0</v>
      </c>
      <c r="AB260" s="41">
        <f t="shared" si="238"/>
        <v>0</v>
      </c>
      <c r="AC260" s="41">
        <f t="shared" si="239"/>
        <v>0</v>
      </c>
      <c r="AD260" s="31"/>
      <c r="AE260" s="21">
        <f t="shared" si="240"/>
        <v>0</v>
      </c>
      <c r="AF260" s="21">
        <f t="shared" si="241"/>
        <v>0</v>
      </c>
      <c r="AG260" s="21">
        <f t="shared" si="242"/>
        <v>0</v>
      </c>
      <c r="AI260" s="41">
        <v>21</v>
      </c>
      <c r="AJ260" s="41">
        <f t="shared" si="243"/>
        <v>0</v>
      </c>
      <c r="AK260" s="41">
        <f t="shared" si="244"/>
        <v>0</v>
      </c>
      <c r="AL260" s="42" t="s">
        <v>13</v>
      </c>
      <c r="AQ260" s="41">
        <f t="shared" si="245"/>
        <v>0</v>
      </c>
      <c r="AR260" s="41">
        <f t="shared" si="246"/>
        <v>0</v>
      </c>
      <c r="AS260" s="41">
        <f t="shared" si="247"/>
        <v>0</v>
      </c>
      <c r="AT260" s="44" t="s">
        <v>2438</v>
      </c>
      <c r="AU260" s="44" t="s">
        <v>2480</v>
      </c>
      <c r="AV260" s="31" t="s">
        <v>2486</v>
      </c>
      <c r="AX260" s="41">
        <f t="shared" si="248"/>
        <v>0</v>
      </c>
      <c r="AY260" s="41">
        <f t="shared" si="249"/>
        <v>0</v>
      </c>
      <c r="AZ260" s="41">
        <v>0</v>
      </c>
      <c r="BA260" s="41">
        <f t="shared" si="250"/>
        <v>0</v>
      </c>
      <c r="BC260" s="21">
        <f t="shared" si="251"/>
        <v>0</v>
      </c>
      <c r="BD260" s="21">
        <f t="shared" si="252"/>
        <v>0</v>
      </c>
      <c r="BE260" s="21">
        <f t="shared" si="253"/>
        <v>0</v>
      </c>
      <c r="BF260" s="21" t="s">
        <v>2492</v>
      </c>
      <c r="BG260" s="41">
        <v>728</v>
      </c>
    </row>
    <row r="261" spans="1:59" x14ac:dyDescent="0.3">
      <c r="A261" s="4" t="s">
        <v>245</v>
      </c>
      <c r="B261" s="13"/>
      <c r="C261" s="13" t="s">
        <v>1136</v>
      </c>
      <c r="D261" s="101" t="s">
        <v>1823</v>
      </c>
      <c r="E261" s="102"/>
      <c r="F261" s="13" t="s">
        <v>2384</v>
      </c>
      <c r="G261" s="21">
        <v>1</v>
      </c>
      <c r="H261" s="21">
        <v>0</v>
      </c>
      <c r="I261" s="21">
        <f t="shared" si="228"/>
        <v>0</v>
      </c>
      <c r="J261" s="21">
        <f t="shared" si="229"/>
        <v>0</v>
      </c>
      <c r="K261" s="21">
        <f t="shared" si="230"/>
        <v>0</v>
      </c>
      <c r="L261" s="21">
        <v>0</v>
      </c>
      <c r="M261" s="21">
        <f t="shared" si="231"/>
        <v>0</v>
      </c>
      <c r="N261" s="35"/>
      <c r="O261" s="39"/>
      <c r="U261" s="41">
        <f t="shared" si="232"/>
        <v>0</v>
      </c>
      <c r="W261" s="41">
        <f t="shared" si="233"/>
        <v>0</v>
      </c>
      <c r="X261" s="41">
        <f t="shared" si="234"/>
        <v>0</v>
      </c>
      <c r="Y261" s="41">
        <f t="shared" si="235"/>
        <v>0</v>
      </c>
      <c r="Z261" s="41">
        <f t="shared" si="236"/>
        <v>0</v>
      </c>
      <c r="AA261" s="41">
        <f t="shared" si="237"/>
        <v>0</v>
      </c>
      <c r="AB261" s="41">
        <f t="shared" si="238"/>
        <v>0</v>
      </c>
      <c r="AC261" s="41">
        <f t="shared" si="239"/>
        <v>0</v>
      </c>
      <c r="AD261" s="31"/>
      <c r="AE261" s="21">
        <f t="shared" si="240"/>
        <v>0</v>
      </c>
      <c r="AF261" s="21">
        <f t="shared" si="241"/>
        <v>0</v>
      </c>
      <c r="AG261" s="21">
        <f t="shared" si="242"/>
        <v>0</v>
      </c>
      <c r="AI261" s="41">
        <v>21</v>
      </c>
      <c r="AJ261" s="41">
        <f t="shared" si="243"/>
        <v>0</v>
      </c>
      <c r="AK261" s="41">
        <f t="shared" si="244"/>
        <v>0</v>
      </c>
      <c r="AL261" s="42" t="s">
        <v>13</v>
      </c>
      <c r="AQ261" s="41">
        <f t="shared" si="245"/>
        <v>0</v>
      </c>
      <c r="AR261" s="41">
        <f t="shared" si="246"/>
        <v>0</v>
      </c>
      <c r="AS261" s="41">
        <f t="shared" si="247"/>
        <v>0</v>
      </c>
      <c r="AT261" s="44" t="s">
        <v>2438</v>
      </c>
      <c r="AU261" s="44" t="s">
        <v>2480</v>
      </c>
      <c r="AV261" s="31" t="s">
        <v>2486</v>
      </c>
      <c r="AX261" s="41">
        <f t="shared" si="248"/>
        <v>0</v>
      </c>
      <c r="AY261" s="41">
        <f t="shared" si="249"/>
        <v>0</v>
      </c>
      <c r="AZ261" s="41">
        <v>0</v>
      </c>
      <c r="BA261" s="41">
        <f t="shared" si="250"/>
        <v>0</v>
      </c>
      <c r="BC261" s="21">
        <f t="shared" si="251"/>
        <v>0</v>
      </c>
      <c r="BD261" s="21">
        <f t="shared" si="252"/>
        <v>0</v>
      </c>
      <c r="BE261" s="21">
        <f t="shared" si="253"/>
        <v>0</v>
      </c>
      <c r="BF261" s="21" t="s">
        <v>2492</v>
      </c>
      <c r="BG261" s="41">
        <v>728</v>
      </c>
    </row>
    <row r="262" spans="1:59" x14ac:dyDescent="0.3">
      <c r="A262" s="4" t="s">
        <v>246</v>
      </c>
      <c r="B262" s="13"/>
      <c r="C262" s="13" t="s">
        <v>1136</v>
      </c>
      <c r="D262" s="101" t="s">
        <v>1823</v>
      </c>
      <c r="E262" s="102"/>
      <c r="F262" s="13" t="s">
        <v>2384</v>
      </c>
      <c r="G262" s="21">
        <v>1</v>
      </c>
      <c r="H262" s="21">
        <v>0</v>
      </c>
      <c r="I262" s="21">
        <f t="shared" si="228"/>
        <v>0</v>
      </c>
      <c r="J262" s="21">
        <f t="shared" si="229"/>
        <v>0</v>
      </c>
      <c r="K262" s="21">
        <f t="shared" si="230"/>
        <v>0</v>
      </c>
      <c r="L262" s="21">
        <v>0</v>
      </c>
      <c r="M262" s="21">
        <f t="shared" si="231"/>
        <v>0</v>
      </c>
      <c r="N262" s="35"/>
      <c r="O262" s="39"/>
      <c r="U262" s="41">
        <f t="shared" si="232"/>
        <v>0</v>
      </c>
      <c r="W262" s="41">
        <f t="shared" si="233"/>
        <v>0</v>
      </c>
      <c r="X262" s="41">
        <f t="shared" si="234"/>
        <v>0</v>
      </c>
      <c r="Y262" s="41">
        <f t="shared" si="235"/>
        <v>0</v>
      </c>
      <c r="Z262" s="41">
        <f t="shared" si="236"/>
        <v>0</v>
      </c>
      <c r="AA262" s="41">
        <f t="shared" si="237"/>
        <v>0</v>
      </c>
      <c r="AB262" s="41">
        <f t="shared" si="238"/>
        <v>0</v>
      </c>
      <c r="AC262" s="41">
        <f t="shared" si="239"/>
        <v>0</v>
      </c>
      <c r="AD262" s="31"/>
      <c r="AE262" s="21">
        <f t="shared" si="240"/>
        <v>0</v>
      </c>
      <c r="AF262" s="21">
        <f t="shared" si="241"/>
        <v>0</v>
      </c>
      <c r="AG262" s="21">
        <f t="shared" si="242"/>
        <v>0</v>
      </c>
      <c r="AI262" s="41">
        <v>21</v>
      </c>
      <c r="AJ262" s="41">
        <f t="shared" si="243"/>
        <v>0</v>
      </c>
      <c r="AK262" s="41">
        <f t="shared" si="244"/>
        <v>0</v>
      </c>
      <c r="AL262" s="42" t="s">
        <v>13</v>
      </c>
      <c r="AQ262" s="41">
        <f t="shared" si="245"/>
        <v>0</v>
      </c>
      <c r="AR262" s="41">
        <f t="shared" si="246"/>
        <v>0</v>
      </c>
      <c r="AS262" s="41">
        <f t="shared" si="247"/>
        <v>0</v>
      </c>
      <c r="AT262" s="44" t="s">
        <v>2438</v>
      </c>
      <c r="AU262" s="44" t="s">
        <v>2480</v>
      </c>
      <c r="AV262" s="31" t="s">
        <v>2486</v>
      </c>
      <c r="AX262" s="41">
        <f t="shared" si="248"/>
        <v>0</v>
      </c>
      <c r="AY262" s="41">
        <f t="shared" si="249"/>
        <v>0</v>
      </c>
      <c r="AZ262" s="41">
        <v>0</v>
      </c>
      <c r="BA262" s="41">
        <f t="shared" si="250"/>
        <v>0</v>
      </c>
      <c r="BC262" s="21">
        <f t="shared" si="251"/>
        <v>0</v>
      </c>
      <c r="BD262" s="21">
        <f t="shared" si="252"/>
        <v>0</v>
      </c>
      <c r="BE262" s="21">
        <f t="shared" si="253"/>
        <v>0</v>
      </c>
      <c r="BF262" s="21" t="s">
        <v>2492</v>
      </c>
      <c r="BG262" s="41">
        <v>728</v>
      </c>
    </row>
    <row r="263" spans="1:59" x14ac:dyDescent="0.3">
      <c r="A263" s="4" t="s">
        <v>247</v>
      </c>
      <c r="B263" s="13"/>
      <c r="C263" s="13" t="s">
        <v>1136</v>
      </c>
      <c r="D263" s="101" t="s">
        <v>1846</v>
      </c>
      <c r="E263" s="102"/>
      <c r="F263" s="13" t="s">
        <v>2384</v>
      </c>
      <c r="G263" s="21">
        <v>4</v>
      </c>
      <c r="H263" s="21">
        <v>0</v>
      </c>
      <c r="I263" s="21">
        <f t="shared" si="228"/>
        <v>0</v>
      </c>
      <c r="J263" s="21">
        <f t="shared" si="229"/>
        <v>0</v>
      </c>
      <c r="K263" s="21">
        <f t="shared" si="230"/>
        <v>0</v>
      </c>
      <c r="L263" s="21">
        <v>0</v>
      </c>
      <c r="M263" s="21">
        <f t="shared" si="231"/>
        <v>0</v>
      </c>
      <c r="N263" s="35"/>
      <c r="O263" s="39"/>
      <c r="U263" s="41">
        <f t="shared" si="232"/>
        <v>0</v>
      </c>
      <c r="W263" s="41">
        <f t="shared" si="233"/>
        <v>0</v>
      </c>
      <c r="X263" s="41">
        <f t="shared" si="234"/>
        <v>0</v>
      </c>
      <c r="Y263" s="41">
        <f t="shared" si="235"/>
        <v>0</v>
      </c>
      <c r="Z263" s="41">
        <f t="shared" si="236"/>
        <v>0</v>
      </c>
      <c r="AA263" s="41">
        <f t="shared" si="237"/>
        <v>0</v>
      </c>
      <c r="AB263" s="41">
        <f t="shared" si="238"/>
        <v>0</v>
      </c>
      <c r="AC263" s="41">
        <f t="shared" si="239"/>
        <v>0</v>
      </c>
      <c r="AD263" s="31"/>
      <c r="AE263" s="21">
        <f t="shared" si="240"/>
        <v>0</v>
      </c>
      <c r="AF263" s="21">
        <f t="shared" si="241"/>
        <v>0</v>
      </c>
      <c r="AG263" s="21">
        <f t="shared" si="242"/>
        <v>0</v>
      </c>
      <c r="AI263" s="41">
        <v>21</v>
      </c>
      <c r="AJ263" s="41">
        <f t="shared" si="243"/>
        <v>0</v>
      </c>
      <c r="AK263" s="41">
        <f t="shared" si="244"/>
        <v>0</v>
      </c>
      <c r="AL263" s="42" t="s">
        <v>13</v>
      </c>
      <c r="AQ263" s="41">
        <f t="shared" si="245"/>
        <v>0</v>
      </c>
      <c r="AR263" s="41">
        <f t="shared" si="246"/>
        <v>0</v>
      </c>
      <c r="AS263" s="41">
        <f t="shared" si="247"/>
        <v>0</v>
      </c>
      <c r="AT263" s="44" t="s">
        <v>2438</v>
      </c>
      <c r="AU263" s="44" t="s">
        <v>2480</v>
      </c>
      <c r="AV263" s="31" t="s">
        <v>2486</v>
      </c>
      <c r="AX263" s="41">
        <f t="shared" si="248"/>
        <v>0</v>
      </c>
      <c r="AY263" s="41">
        <f t="shared" si="249"/>
        <v>0</v>
      </c>
      <c r="AZ263" s="41">
        <v>0</v>
      </c>
      <c r="BA263" s="41">
        <f t="shared" si="250"/>
        <v>0</v>
      </c>
      <c r="BC263" s="21">
        <f t="shared" si="251"/>
        <v>0</v>
      </c>
      <c r="BD263" s="21">
        <f t="shared" si="252"/>
        <v>0</v>
      </c>
      <c r="BE263" s="21">
        <f t="shared" si="253"/>
        <v>0</v>
      </c>
      <c r="BF263" s="21" t="s">
        <v>2492</v>
      </c>
      <c r="BG263" s="41">
        <v>728</v>
      </c>
    </row>
    <row r="264" spans="1:59" x14ac:dyDescent="0.3">
      <c r="A264" s="4" t="s">
        <v>248</v>
      </c>
      <c r="B264" s="13"/>
      <c r="C264" s="13" t="s">
        <v>1136</v>
      </c>
      <c r="D264" s="101" t="s">
        <v>1847</v>
      </c>
      <c r="E264" s="102"/>
      <c r="F264" s="13" t="s">
        <v>2384</v>
      </c>
      <c r="G264" s="21">
        <v>8</v>
      </c>
      <c r="H264" s="21">
        <v>0</v>
      </c>
      <c r="I264" s="21">
        <f t="shared" si="228"/>
        <v>0</v>
      </c>
      <c r="J264" s="21">
        <f t="shared" si="229"/>
        <v>0</v>
      </c>
      <c r="K264" s="21">
        <f t="shared" si="230"/>
        <v>0</v>
      </c>
      <c r="L264" s="21">
        <v>0</v>
      </c>
      <c r="M264" s="21">
        <f t="shared" si="231"/>
        <v>0</v>
      </c>
      <c r="N264" s="35"/>
      <c r="O264" s="39"/>
      <c r="U264" s="41">
        <f t="shared" si="232"/>
        <v>0</v>
      </c>
      <c r="W264" s="41">
        <f t="shared" si="233"/>
        <v>0</v>
      </c>
      <c r="X264" s="41">
        <f t="shared" si="234"/>
        <v>0</v>
      </c>
      <c r="Y264" s="41">
        <f t="shared" si="235"/>
        <v>0</v>
      </c>
      <c r="Z264" s="41">
        <f t="shared" si="236"/>
        <v>0</v>
      </c>
      <c r="AA264" s="41">
        <f t="shared" si="237"/>
        <v>0</v>
      </c>
      <c r="AB264" s="41">
        <f t="shared" si="238"/>
        <v>0</v>
      </c>
      <c r="AC264" s="41">
        <f t="shared" si="239"/>
        <v>0</v>
      </c>
      <c r="AD264" s="31"/>
      <c r="AE264" s="21">
        <f t="shared" si="240"/>
        <v>0</v>
      </c>
      <c r="AF264" s="21">
        <f t="shared" si="241"/>
        <v>0</v>
      </c>
      <c r="AG264" s="21">
        <f t="shared" si="242"/>
        <v>0</v>
      </c>
      <c r="AI264" s="41">
        <v>21</v>
      </c>
      <c r="AJ264" s="41">
        <f t="shared" si="243"/>
        <v>0</v>
      </c>
      <c r="AK264" s="41">
        <f t="shared" si="244"/>
        <v>0</v>
      </c>
      <c r="AL264" s="42" t="s">
        <v>13</v>
      </c>
      <c r="AQ264" s="41">
        <f t="shared" si="245"/>
        <v>0</v>
      </c>
      <c r="AR264" s="41">
        <f t="shared" si="246"/>
        <v>0</v>
      </c>
      <c r="AS264" s="41">
        <f t="shared" si="247"/>
        <v>0</v>
      </c>
      <c r="AT264" s="44" t="s">
        <v>2438</v>
      </c>
      <c r="AU264" s="44" t="s">
        <v>2480</v>
      </c>
      <c r="AV264" s="31" t="s">
        <v>2486</v>
      </c>
      <c r="AX264" s="41">
        <f t="shared" si="248"/>
        <v>0</v>
      </c>
      <c r="AY264" s="41">
        <f t="shared" si="249"/>
        <v>0</v>
      </c>
      <c r="AZ264" s="41">
        <v>0</v>
      </c>
      <c r="BA264" s="41">
        <f t="shared" si="250"/>
        <v>0</v>
      </c>
      <c r="BC264" s="21">
        <f t="shared" si="251"/>
        <v>0</v>
      </c>
      <c r="BD264" s="21">
        <f t="shared" si="252"/>
        <v>0</v>
      </c>
      <c r="BE264" s="21">
        <f t="shared" si="253"/>
        <v>0</v>
      </c>
      <c r="BF264" s="21" t="s">
        <v>2492</v>
      </c>
      <c r="BG264" s="41">
        <v>728</v>
      </c>
    </row>
    <row r="265" spans="1:59" x14ac:dyDescent="0.3">
      <c r="A265" s="4" t="s">
        <v>249</v>
      </c>
      <c r="B265" s="13"/>
      <c r="C265" s="13" t="s">
        <v>1136</v>
      </c>
      <c r="D265" s="101" t="s">
        <v>1848</v>
      </c>
      <c r="E265" s="102"/>
      <c r="F265" s="13" t="s">
        <v>2384</v>
      </c>
      <c r="G265" s="21">
        <v>2</v>
      </c>
      <c r="H265" s="21">
        <v>0</v>
      </c>
      <c r="I265" s="21">
        <f t="shared" si="228"/>
        <v>0</v>
      </c>
      <c r="J265" s="21">
        <f t="shared" si="229"/>
        <v>0</v>
      </c>
      <c r="K265" s="21">
        <f t="shared" si="230"/>
        <v>0</v>
      </c>
      <c r="L265" s="21">
        <v>0</v>
      </c>
      <c r="M265" s="21">
        <f t="shared" si="231"/>
        <v>0</v>
      </c>
      <c r="N265" s="35"/>
      <c r="O265" s="39"/>
      <c r="U265" s="41">
        <f t="shared" si="232"/>
        <v>0</v>
      </c>
      <c r="W265" s="41">
        <f t="shared" si="233"/>
        <v>0</v>
      </c>
      <c r="X265" s="41">
        <f t="shared" si="234"/>
        <v>0</v>
      </c>
      <c r="Y265" s="41">
        <f t="shared" si="235"/>
        <v>0</v>
      </c>
      <c r="Z265" s="41">
        <f t="shared" si="236"/>
        <v>0</v>
      </c>
      <c r="AA265" s="41">
        <f t="shared" si="237"/>
        <v>0</v>
      </c>
      <c r="AB265" s="41">
        <f t="shared" si="238"/>
        <v>0</v>
      </c>
      <c r="AC265" s="41">
        <f t="shared" si="239"/>
        <v>0</v>
      </c>
      <c r="AD265" s="31"/>
      <c r="AE265" s="21">
        <f t="shared" si="240"/>
        <v>0</v>
      </c>
      <c r="AF265" s="21">
        <f t="shared" si="241"/>
        <v>0</v>
      </c>
      <c r="AG265" s="21">
        <f t="shared" si="242"/>
        <v>0</v>
      </c>
      <c r="AI265" s="41">
        <v>21</v>
      </c>
      <c r="AJ265" s="41">
        <f t="shared" si="243"/>
        <v>0</v>
      </c>
      <c r="AK265" s="41">
        <f t="shared" si="244"/>
        <v>0</v>
      </c>
      <c r="AL265" s="42" t="s">
        <v>13</v>
      </c>
      <c r="AQ265" s="41">
        <f t="shared" si="245"/>
        <v>0</v>
      </c>
      <c r="AR265" s="41">
        <f t="shared" si="246"/>
        <v>0</v>
      </c>
      <c r="AS265" s="41">
        <f t="shared" si="247"/>
        <v>0</v>
      </c>
      <c r="AT265" s="44" t="s">
        <v>2438</v>
      </c>
      <c r="AU265" s="44" t="s">
        <v>2480</v>
      </c>
      <c r="AV265" s="31" t="s">
        <v>2486</v>
      </c>
      <c r="AX265" s="41">
        <f t="shared" si="248"/>
        <v>0</v>
      </c>
      <c r="AY265" s="41">
        <f t="shared" si="249"/>
        <v>0</v>
      </c>
      <c r="AZ265" s="41">
        <v>0</v>
      </c>
      <c r="BA265" s="41">
        <f t="shared" si="250"/>
        <v>0</v>
      </c>
      <c r="BC265" s="21">
        <f t="shared" si="251"/>
        <v>0</v>
      </c>
      <c r="BD265" s="21">
        <f t="shared" si="252"/>
        <v>0</v>
      </c>
      <c r="BE265" s="21">
        <f t="shared" si="253"/>
        <v>0</v>
      </c>
      <c r="BF265" s="21" t="s">
        <v>2492</v>
      </c>
      <c r="BG265" s="41">
        <v>728</v>
      </c>
    </row>
    <row r="266" spans="1:59" x14ac:dyDescent="0.3">
      <c r="A266" s="4" t="s">
        <v>250</v>
      </c>
      <c r="B266" s="13"/>
      <c r="C266" s="13" t="s">
        <v>1136</v>
      </c>
      <c r="D266" s="101" t="s">
        <v>1824</v>
      </c>
      <c r="E266" s="102"/>
      <c r="F266" s="13" t="s">
        <v>2384</v>
      </c>
      <c r="G266" s="21">
        <v>2</v>
      </c>
      <c r="H266" s="21">
        <v>0</v>
      </c>
      <c r="I266" s="21">
        <f t="shared" si="228"/>
        <v>0</v>
      </c>
      <c r="J266" s="21">
        <f t="shared" si="229"/>
        <v>0</v>
      </c>
      <c r="K266" s="21">
        <f t="shared" si="230"/>
        <v>0</v>
      </c>
      <c r="L266" s="21">
        <v>0</v>
      </c>
      <c r="M266" s="21">
        <f t="shared" si="231"/>
        <v>0</v>
      </c>
      <c r="N266" s="35"/>
      <c r="O266" s="39"/>
      <c r="U266" s="41">
        <f t="shared" si="232"/>
        <v>0</v>
      </c>
      <c r="W266" s="41">
        <f t="shared" si="233"/>
        <v>0</v>
      </c>
      <c r="X266" s="41">
        <f t="shared" si="234"/>
        <v>0</v>
      </c>
      <c r="Y266" s="41">
        <f t="shared" si="235"/>
        <v>0</v>
      </c>
      <c r="Z266" s="41">
        <f t="shared" si="236"/>
        <v>0</v>
      </c>
      <c r="AA266" s="41">
        <f t="shared" si="237"/>
        <v>0</v>
      </c>
      <c r="AB266" s="41">
        <f t="shared" si="238"/>
        <v>0</v>
      </c>
      <c r="AC266" s="41">
        <f t="shared" si="239"/>
        <v>0</v>
      </c>
      <c r="AD266" s="31"/>
      <c r="AE266" s="21">
        <f t="shared" si="240"/>
        <v>0</v>
      </c>
      <c r="AF266" s="21">
        <f t="shared" si="241"/>
        <v>0</v>
      </c>
      <c r="AG266" s="21">
        <f t="shared" si="242"/>
        <v>0</v>
      </c>
      <c r="AI266" s="41">
        <v>21</v>
      </c>
      <c r="AJ266" s="41">
        <f t="shared" si="243"/>
        <v>0</v>
      </c>
      <c r="AK266" s="41">
        <f t="shared" si="244"/>
        <v>0</v>
      </c>
      <c r="AL266" s="42" t="s">
        <v>13</v>
      </c>
      <c r="AQ266" s="41">
        <f t="shared" si="245"/>
        <v>0</v>
      </c>
      <c r="AR266" s="41">
        <f t="shared" si="246"/>
        <v>0</v>
      </c>
      <c r="AS266" s="41">
        <f t="shared" si="247"/>
        <v>0</v>
      </c>
      <c r="AT266" s="44" t="s">
        <v>2438</v>
      </c>
      <c r="AU266" s="44" t="s">
        <v>2480</v>
      </c>
      <c r="AV266" s="31" t="s">
        <v>2486</v>
      </c>
      <c r="AX266" s="41">
        <f t="shared" si="248"/>
        <v>0</v>
      </c>
      <c r="AY266" s="41">
        <f t="shared" si="249"/>
        <v>0</v>
      </c>
      <c r="AZ266" s="41">
        <v>0</v>
      </c>
      <c r="BA266" s="41">
        <f t="shared" si="250"/>
        <v>0</v>
      </c>
      <c r="BC266" s="21">
        <f t="shared" si="251"/>
        <v>0</v>
      </c>
      <c r="BD266" s="21">
        <f t="shared" si="252"/>
        <v>0</v>
      </c>
      <c r="BE266" s="21">
        <f t="shared" si="253"/>
        <v>0</v>
      </c>
      <c r="BF266" s="21" t="s">
        <v>2492</v>
      </c>
      <c r="BG266" s="41">
        <v>728</v>
      </c>
    </row>
    <row r="267" spans="1:59" x14ac:dyDescent="0.3">
      <c r="A267" s="4" t="s">
        <v>251</v>
      </c>
      <c r="B267" s="13"/>
      <c r="C267" s="13" t="s">
        <v>1136</v>
      </c>
      <c r="D267" s="101" t="s">
        <v>1849</v>
      </c>
      <c r="E267" s="102"/>
      <c r="F267" s="13" t="s">
        <v>2384</v>
      </c>
      <c r="G267" s="21">
        <v>3</v>
      </c>
      <c r="H267" s="21">
        <v>0</v>
      </c>
      <c r="I267" s="21">
        <f t="shared" si="228"/>
        <v>0</v>
      </c>
      <c r="J267" s="21">
        <f t="shared" si="229"/>
        <v>0</v>
      </c>
      <c r="K267" s="21">
        <f t="shared" si="230"/>
        <v>0</v>
      </c>
      <c r="L267" s="21">
        <v>0</v>
      </c>
      <c r="M267" s="21">
        <f t="shared" si="231"/>
        <v>0</v>
      </c>
      <c r="N267" s="35"/>
      <c r="O267" s="39"/>
      <c r="U267" s="41">
        <f t="shared" si="232"/>
        <v>0</v>
      </c>
      <c r="W267" s="41">
        <f t="shared" si="233"/>
        <v>0</v>
      </c>
      <c r="X267" s="41">
        <f t="shared" si="234"/>
        <v>0</v>
      </c>
      <c r="Y267" s="41">
        <f t="shared" si="235"/>
        <v>0</v>
      </c>
      <c r="Z267" s="41">
        <f t="shared" si="236"/>
        <v>0</v>
      </c>
      <c r="AA267" s="41">
        <f t="shared" si="237"/>
        <v>0</v>
      </c>
      <c r="AB267" s="41">
        <f t="shared" si="238"/>
        <v>0</v>
      </c>
      <c r="AC267" s="41">
        <f t="shared" si="239"/>
        <v>0</v>
      </c>
      <c r="AD267" s="31"/>
      <c r="AE267" s="21">
        <f t="shared" si="240"/>
        <v>0</v>
      </c>
      <c r="AF267" s="21">
        <f t="shared" si="241"/>
        <v>0</v>
      </c>
      <c r="AG267" s="21">
        <f t="shared" si="242"/>
        <v>0</v>
      </c>
      <c r="AI267" s="41">
        <v>21</v>
      </c>
      <c r="AJ267" s="41">
        <f t="shared" si="243"/>
        <v>0</v>
      </c>
      <c r="AK267" s="41">
        <f t="shared" si="244"/>
        <v>0</v>
      </c>
      <c r="AL267" s="42" t="s">
        <v>13</v>
      </c>
      <c r="AQ267" s="41">
        <f t="shared" si="245"/>
        <v>0</v>
      </c>
      <c r="AR267" s="41">
        <f t="shared" si="246"/>
        <v>0</v>
      </c>
      <c r="AS267" s="41">
        <f t="shared" si="247"/>
        <v>0</v>
      </c>
      <c r="AT267" s="44" t="s">
        <v>2438</v>
      </c>
      <c r="AU267" s="44" t="s">
        <v>2480</v>
      </c>
      <c r="AV267" s="31" t="s">
        <v>2486</v>
      </c>
      <c r="AX267" s="41">
        <f t="shared" si="248"/>
        <v>0</v>
      </c>
      <c r="AY267" s="41">
        <f t="shared" si="249"/>
        <v>0</v>
      </c>
      <c r="AZ267" s="41">
        <v>0</v>
      </c>
      <c r="BA267" s="41">
        <f t="shared" si="250"/>
        <v>0</v>
      </c>
      <c r="BC267" s="21">
        <f t="shared" si="251"/>
        <v>0</v>
      </c>
      <c r="BD267" s="21">
        <f t="shared" si="252"/>
        <v>0</v>
      </c>
      <c r="BE267" s="21">
        <f t="shared" si="253"/>
        <v>0</v>
      </c>
      <c r="BF267" s="21" t="s">
        <v>2492</v>
      </c>
      <c r="BG267" s="41">
        <v>728</v>
      </c>
    </row>
    <row r="268" spans="1:59" x14ac:dyDescent="0.3">
      <c r="A268" s="4" t="s">
        <v>252</v>
      </c>
      <c r="B268" s="13"/>
      <c r="C268" s="13" t="s">
        <v>1136</v>
      </c>
      <c r="D268" s="101" t="s">
        <v>1850</v>
      </c>
      <c r="E268" s="102"/>
      <c r="F268" s="13" t="s">
        <v>2384</v>
      </c>
      <c r="G268" s="21">
        <v>1</v>
      </c>
      <c r="H268" s="21">
        <v>0</v>
      </c>
      <c r="I268" s="21">
        <f t="shared" si="228"/>
        <v>0</v>
      </c>
      <c r="J268" s="21">
        <f t="shared" si="229"/>
        <v>0</v>
      </c>
      <c r="K268" s="21">
        <f t="shared" si="230"/>
        <v>0</v>
      </c>
      <c r="L268" s="21">
        <v>0</v>
      </c>
      <c r="M268" s="21">
        <f t="shared" si="231"/>
        <v>0</v>
      </c>
      <c r="N268" s="35"/>
      <c r="O268" s="39"/>
      <c r="U268" s="41">
        <f t="shared" si="232"/>
        <v>0</v>
      </c>
      <c r="W268" s="41">
        <f t="shared" si="233"/>
        <v>0</v>
      </c>
      <c r="X268" s="41">
        <f t="shared" si="234"/>
        <v>0</v>
      </c>
      <c r="Y268" s="41">
        <f t="shared" si="235"/>
        <v>0</v>
      </c>
      <c r="Z268" s="41">
        <f t="shared" si="236"/>
        <v>0</v>
      </c>
      <c r="AA268" s="41">
        <f t="shared" si="237"/>
        <v>0</v>
      </c>
      <c r="AB268" s="41">
        <f t="shared" si="238"/>
        <v>0</v>
      </c>
      <c r="AC268" s="41">
        <f t="shared" si="239"/>
        <v>0</v>
      </c>
      <c r="AD268" s="31"/>
      <c r="AE268" s="21">
        <f t="shared" si="240"/>
        <v>0</v>
      </c>
      <c r="AF268" s="21">
        <f t="shared" si="241"/>
        <v>0</v>
      </c>
      <c r="AG268" s="21">
        <f t="shared" si="242"/>
        <v>0</v>
      </c>
      <c r="AI268" s="41">
        <v>21</v>
      </c>
      <c r="AJ268" s="41">
        <f t="shared" si="243"/>
        <v>0</v>
      </c>
      <c r="AK268" s="41">
        <f t="shared" si="244"/>
        <v>0</v>
      </c>
      <c r="AL268" s="42" t="s">
        <v>13</v>
      </c>
      <c r="AQ268" s="41">
        <f t="shared" si="245"/>
        <v>0</v>
      </c>
      <c r="AR268" s="41">
        <f t="shared" si="246"/>
        <v>0</v>
      </c>
      <c r="AS268" s="41">
        <f t="shared" si="247"/>
        <v>0</v>
      </c>
      <c r="AT268" s="44" t="s">
        <v>2438</v>
      </c>
      <c r="AU268" s="44" t="s">
        <v>2480</v>
      </c>
      <c r="AV268" s="31" t="s">
        <v>2486</v>
      </c>
      <c r="AX268" s="41">
        <f t="shared" si="248"/>
        <v>0</v>
      </c>
      <c r="AY268" s="41">
        <f t="shared" si="249"/>
        <v>0</v>
      </c>
      <c r="AZ268" s="41">
        <v>0</v>
      </c>
      <c r="BA268" s="41">
        <f t="shared" si="250"/>
        <v>0</v>
      </c>
      <c r="BC268" s="21">
        <f t="shared" si="251"/>
        <v>0</v>
      </c>
      <c r="BD268" s="21">
        <f t="shared" si="252"/>
        <v>0</v>
      </c>
      <c r="BE268" s="21">
        <f t="shared" si="253"/>
        <v>0</v>
      </c>
      <c r="BF268" s="21" t="s">
        <v>2492</v>
      </c>
      <c r="BG268" s="41">
        <v>728</v>
      </c>
    </row>
    <row r="269" spans="1:59" x14ac:dyDescent="0.3">
      <c r="A269" s="4" t="s">
        <v>253</v>
      </c>
      <c r="B269" s="13"/>
      <c r="C269" s="13" t="s">
        <v>1136</v>
      </c>
      <c r="D269" s="101" t="s">
        <v>1820</v>
      </c>
      <c r="E269" s="102"/>
      <c r="F269" s="13" t="s">
        <v>2384</v>
      </c>
      <c r="G269" s="21">
        <v>2</v>
      </c>
      <c r="H269" s="21">
        <v>0</v>
      </c>
      <c r="I269" s="21">
        <f t="shared" si="228"/>
        <v>0</v>
      </c>
      <c r="J269" s="21">
        <f t="shared" si="229"/>
        <v>0</v>
      </c>
      <c r="K269" s="21">
        <f t="shared" si="230"/>
        <v>0</v>
      </c>
      <c r="L269" s="21">
        <v>0</v>
      </c>
      <c r="M269" s="21">
        <f t="shared" si="231"/>
        <v>0</v>
      </c>
      <c r="N269" s="35"/>
      <c r="O269" s="39"/>
      <c r="U269" s="41">
        <f t="shared" si="232"/>
        <v>0</v>
      </c>
      <c r="W269" s="41">
        <f t="shared" si="233"/>
        <v>0</v>
      </c>
      <c r="X269" s="41">
        <f t="shared" si="234"/>
        <v>0</v>
      </c>
      <c r="Y269" s="41">
        <f t="shared" si="235"/>
        <v>0</v>
      </c>
      <c r="Z269" s="41">
        <f t="shared" si="236"/>
        <v>0</v>
      </c>
      <c r="AA269" s="41">
        <f t="shared" si="237"/>
        <v>0</v>
      </c>
      <c r="AB269" s="41">
        <f t="shared" si="238"/>
        <v>0</v>
      </c>
      <c r="AC269" s="41">
        <f t="shared" si="239"/>
        <v>0</v>
      </c>
      <c r="AD269" s="31"/>
      <c r="AE269" s="21">
        <f t="shared" si="240"/>
        <v>0</v>
      </c>
      <c r="AF269" s="21">
        <f t="shared" si="241"/>
        <v>0</v>
      </c>
      <c r="AG269" s="21">
        <f t="shared" si="242"/>
        <v>0</v>
      </c>
      <c r="AI269" s="41">
        <v>21</v>
      </c>
      <c r="AJ269" s="41">
        <f t="shared" si="243"/>
        <v>0</v>
      </c>
      <c r="AK269" s="41">
        <f t="shared" si="244"/>
        <v>0</v>
      </c>
      <c r="AL269" s="42" t="s">
        <v>13</v>
      </c>
      <c r="AQ269" s="41">
        <f t="shared" si="245"/>
        <v>0</v>
      </c>
      <c r="AR269" s="41">
        <f t="shared" si="246"/>
        <v>0</v>
      </c>
      <c r="AS269" s="41">
        <f t="shared" si="247"/>
        <v>0</v>
      </c>
      <c r="AT269" s="44" t="s">
        <v>2438</v>
      </c>
      <c r="AU269" s="44" t="s">
        <v>2480</v>
      </c>
      <c r="AV269" s="31" t="s">
        <v>2486</v>
      </c>
      <c r="AX269" s="41">
        <f t="shared" si="248"/>
        <v>0</v>
      </c>
      <c r="AY269" s="41">
        <f t="shared" si="249"/>
        <v>0</v>
      </c>
      <c r="AZ269" s="41">
        <v>0</v>
      </c>
      <c r="BA269" s="41">
        <f t="shared" si="250"/>
        <v>0</v>
      </c>
      <c r="BC269" s="21">
        <f t="shared" si="251"/>
        <v>0</v>
      </c>
      <c r="BD269" s="21">
        <f t="shared" si="252"/>
        <v>0</v>
      </c>
      <c r="BE269" s="21">
        <f t="shared" si="253"/>
        <v>0</v>
      </c>
      <c r="BF269" s="21" t="s">
        <v>2492</v>
      </c>
      <c r="BG269" s="41">
        <v>728</v>
      </c>
    </row>
    <row r="270" spans="1:59" x14ac:dyDescent="0.3">
      <c r="A270" s="4" t="s">
        <v>254</v>
      </c>
      <c r="B270" s="13"/>
      <c r="C270" s="13" t="s">
        <v>1136</v>
      </c>
      <c r="D270" s="101" t="s">
        <v>1820</v>
      </c>
      <c r="E270" s="102"/>
      <c r="F270" s="13" t="s">
        <v>2384</v>
      </c>
      <c r="G270" s="21">
        <v>1</v>
      </c>
      <c r="H270" s="21">
        <v>0</v>
      </c>
      <c r="I270" s="21">
        <f t="shared" si="228"/>
        <v>0</v>
      </c>
      <c r="J270" s="21">
        <f t="shared" si="229"/>
        <v>0</v>
      </c>
      <c r="K270" s="21">
        <f t="shared" si="230"/>
        <v>0</v>
      </c>
      <c r="L270" s="21">
        <v>0</v>
      </c>
      <c r="M270" s="21">
        <f t="shared" si="231"/>
        <v>0</v>
      </c>
      <c r="N270" s="35"/>
      <c r="O270" s="39"/>
      <c r="U270" s="41">
        <f t="shared" si="232"/>
        <v>0</v>
      </c>
      <c r="W270" s="41">
        <f t="shared" si="233"/>
        <v>0</v>
      </c>
      <c r="X270" s="41">
        <f t="shared" si="234"/>
        <v>0</v>
      </c>
      <c r="Y270" s="41">
        <f t="shared" si="235"/>
        <v>0</v>
      </c>
      <c r="Z270" s="41">
        <f t="shared" si="236"/>
        <v>0</v>
      </c>
      <c r="AA270" s="41">
        <f t="shared" si="237"/>
        <v>0</v>
      </c>
      <c r="AB270" s="41">
        <f t="shared" si="238"/>
        <v>0</v>
      </c>
      <c r="AC270" s="41">
        <f t="shared" si="239"/>
        <v>0</v>
      </c>
      <c r="AD270" s="31"/>
      <c r="AE270" s="21">
        <f t="shared" si="240"/>
        <v>0</v>
      </c>
      <c r="AF270" s="21">
        <f t="shared" si="241"/>
        <v>0</v>
      </c>
      <c r="AG270" s="21">
        <f t="shared" si="242"/>
        <v>0</v>
      </c>
      <c r="AI270" s="41">
        <v>21</v>
      </c>
      <c r="AJ270" s="41">
        <f t="shared" si="243"/>
        <v>0</v>
      </c>
      <c r="AK270" s="41">
        <f t="shared" si="244"/>
        <v>0</v>
      </c>
      <c r="AL270" s="42" t="s">
        <v>13</v>
      </c>
      <c r="AQ270" s="41">
        <f t="shared" si="245"/>
        <v>0</v>
      </c>
      <c r="AR270" s="41">
        <f t="shared" si="246"/>
        <v>0</v>
      </c>
      <c r="AS270" s="41">
        <f t="shared" si="247"/>
        <v>0</v>
      </c>
      <c r="AT270" s="44" t="s">
        <v>2438</v>
      </c>
      <c r="AU270" s="44" t="s">
        <v>2480</v>
      </c>
      <c r="AV270" s="31" t="s">
        <v>2486</v>
      </c>
      <c r="AX270" s="41">
        <f t="shared" si="248"/>
        <v>0</v>
      </c>
      <c r="AY270" s="41">
        <f t="shared" si="249"/>
        <v>0</v>
      </c>
      <c r="AZ270" s="41">
        <v>0</v>
      </c>
      <c r="BA270" s="41">
        <f t="shared" si="250"/>
        <v>0</v>
      </c>
      <c r="BC270" s="21">
        <f t="shared" si="251"/>
        <v>0</v>
      </c>
      <c r="BD270" s="21">
        <f t="shared" si="252"/>
        <v>0</v>
      </c>
      <c r="BE270" s="21">
        <f t="shared" si="253"/>
        <v>0</v>
      </c>
      <c r="BF270" s="21" t="s">
        <v>2492</v>
      </c>
      <c r="BG270" s="41">
        <v>728</v>
      </c>
    </row>
    <row r="271" spans="1:59" x14ac:dyDescent="0.3">
      <c r="A271" s="4" t="s">
        <v>255</v>
      </c>
      <c r="B271" s="13"/>
      <c r="C271" s="13" t="s">
        <v>1136</v>
      </c>
      <c r="D271" s="101" t="s">
        <v>1851</v>
      </c>
      <c r="E271" s="102"/>
      <c r="F271" s="13" t="s">
        <v>2384</v>
      </c>
      <c r="G271" s="21">
        <v>2</v>
      </c>
      <c r="H271" s="21">
        <v>0</v>
      </c>
      <c r="I271" s="21">
        <f t="shared" si="228"/>
        <v>0</v>
      </c>
      <c r="J271" s="21">
        <f t="shared" si="229"/>
        <v>0</v>
      </c>
      <c r="K271" s="21">
        <f t="shared" si="230"/>
        <v>0</v>
      </c>
      <c r="L271" s="21">
        <v>0</v>
      </c>
      <c r="M271" s="21">
        <f t="shared" si="231"/>
        <v>0</v>
      </c>
      <c r="N271" s="35"/>
      <c r="O271" s="39"/>
      <c r="U271" s="41">
        <f t="shared" si="232"/>
        <v>0</v>
      </c>
      <c r="W271" s="41">
        <f t="shared" si="233"/>
        <v>0</v>
      </c>
      <c r="X271" s="41">
        <f t="shared" si="234"/>
        <v>0</v>
      </c>
      <c r="Y271" s="41">
        <f t="shared" si="235"/>
        <v>0</v>
      </c>
      <c r="Z271" s="41">
        <f t="shared" si="236"/>
        <v>0</v>
      </c>
      <c r="AA271" s="41">
        <f t="shared" si="237"/>
        <v>0</v>
      </c>
      <c r="AB271" s="41">
        <f t="shared" si="238"/>
        <v>0</v>
      </c>
      <c r="AC271" s="41">
        <f t="shared" si="239"/>
        <v>0</v>
      </c>
      <c r="AD271" s="31"/>
      <c r="AE271" s="21">
        <f t="shared" si="240"/>
        <v>0</v>
      </c>
      <c r="AF271" s="21">
        <f t="shared" si="241"/>
        <v>0</v>
      </c>
      <c r="AG271" s="21">
        <f t="shared" si="242"/>
        <v>0</v>
      </c>
      <c r="AI271" s="41">
        <v>21</v>
      </c>
      <c r="AJ271" s="41">
        <f t="shared" si="243"/>
        <v>0</v>
      </c>
      <c r="AK271" s="41">
        <f t="shared" si="244"/>
        <v>0</v>
      </c>
      <c r="AL271" s="42" t="s">
        <v>13</v>
      </c>
      <c r="AQ271" s="41">
        <f t="shared" si="245"/>
        <v>0</v>
      </c>
      <c r="AR271" s="41">
        <f t="shared" si="246"/>
        <v>0</v>
      </c>
      <c r="AS271" s="41">
        <f t="shared" si="247"/>
        <v>0</v>
      </c>
      <c r="AT271" s="44" t="s">
        <v>2438</v>
      </c>
      <c r="AU271" s="44" t="s">
        <v>2480</v>
      </c>
      <c r="AV271" s="31" t="s">
        <v>2486</v>
      </c>
      <c r="AX271" s="41">
        <f t="shared" si="248"/>
        <v>0</v>
      </c>
      <c r="AY271" s="41">
        <f t="shared" si="249"/>
        <v>0</v>
      </c>
      <c r="AZ271" s="41">
        <v>0</v>
      </c>
      <c r="BA271" s="41">
        <f t="shared" si="250"/>
        <v>0</v>
      </c>
      <c r="BC271" s="21">
        <f t="shared" si="251"/>
        <v>0</v>
      </c>
      <c r="BD271" s="21">
        <f t="shared" si="252"/>
        <v>0</v>
      </c>
      <c r="BE271" s="21">
        <f t="shared" si="253"/>
        <v>0</v>
      </c>
      <c r="BF271" s="21" t="s">
        <v>2492</v>
      </c>
      <c r="BG271" s="41">
        <v>728</v>
      </c>
    </row>
    <row r="272" spans="1:59" x14ac:dyDescent="0.3">
      <c r="A272" s="4" t="s">
        <v>256</v>
      </c>
      <c r="B272" s="13"/>
      <c r="C272" s="13" t="s">
        <v>1136</v>
      </c>
      <c r="D272" s="101" t="s">
        <v>1821</v>
      </c>
      <c r="E272" s="102"/>
      <c r="F272" s="13" t="s">
        <v>2384</v>
      </c>
      <c r="G272" s="21">
        <v>12</v>
      </c>
      <c r="H272" s="21">
        <v>0</v>
      </c>
      <c r="I272" s="21">
        <f t="shared" si="228"/>
        <v>0</v>
      </c>
      <c r="J272" s="21">
        <f t="shared" si="229"/>
        <v>0</v>
      </c>
      <c r="K272" s="21">
        <f t="shared" si="230"/>
        <v>0</v>
      </c>
      <c r="L272" s="21">
        <v>0</v>
      </c>
      <c r="M272" s="21">
        <f t="shared" si="231"/>
        <v>0</v>
      </c>
      <c r="N272" s="35"/>
      <c r="O272" s="39"/>
      <c r="U272" s="41">
        <f t="shared" si="232"/>
        <v>0</v>
      </c>
      <c r="W272" s="41">
        <f t="shared" si="233"/>
        <v>0</v>
      </c>
      <c r="X272" s="41">
        <f t="shared" si="234"/>
        <v>0</v>
      </c>
      <c r="Y272" s="41">
        <f t="shared" si="235"/>
        <v>0</v>
      </c>
      <c r="Z272" s="41">
        <f t="shared" si="236"/>
        <v>0</v>
      </c>
      <c r="AA272" s="41">
        <f t="shared" si="237"/>
        <v>0</v>
      </c>
      <c r="AB272" s="41">
        <f t="shared" si="238"/>
        <v>0</v>
      </c>
      <c r="AC272" s="41">
        <f t="shared" si="239"/>
        <v>0</v>
      </c>
      <c r="AD272" s="31"/>
      <c r="AE272" s="21">
        <f t="shared" si="240"/>
        <v>0</v>
      </c>
      <c r="AF272" s="21">
        <f t="shared" si="241"/>
        <v>0</v>
      </c>
      <c r="AG272" s="21">
        <f t="shared" si="242"/>
        <v>0</v>
      </c>
      <c r="AI272" s="41">
        <v>21</v>
      </c>
      <c r="AJ272" s="41">
        <f t="shared" si="243"/>
        <v>0</v>
      </c>
      <c r="AK272" s="41">
        <f t="shared" si="244"/>
        <v>0</v>
      </c>
      <c r="AL272" s="42" t="s">
        <v>13</v>
      </c>
      <c r="AQ272" s="41">
        <f t="shared" si="245"/>
        <v>0</v>
      </c>
      <c r="AR272" s="41">
        <f t="shared" si="246"/>
        <v>0</v>
      </c>
      <c r="AS272" s="41">
        <f t="shared" si="247"/>
        <v>0</v>
      </c>
      <c r="AT272" s="44" t="s">
        <v>2438</v>
      </c>
      <c r="AU272" s="44" t="s">
        <v>2480</v>
      </c>
      <c r="AV272" s="31" t="s">
        <v>2486</v>
      </c>
      <c r="AX272" s="41">
        <f t="shared" si="248"/>
        <v>0</v>
      </c>
      <c r="AY272" s="41">
        <f t="shared" si="249"/>
        <v>0</v>
      </c>
      <c r="AZ272" s="41">
        <v>0</v>
      </c>
      <c r="BA272" s="41">
        <f t="shared" si="250"/>
        <v>0</v>
      </c>
      <c r="BC272" s="21">
        <f t="shared" si="251"/>
        <v>0</v>
      </c>
      <c r="BD272" s="21">
        <f t="shared" si="252"/>
        <v>0</v>
      </c>
      <c r="BE272" s="21">
        <f t="shared" si="253"/>
        <v>0</v>
      </c>
      <c r="BF272" s="21" t="s">
        <v>2492</v>
      </c>
      <c r="BG272" s="41">
        <v>728</v>
      </c>
    </row>
    <row r="273" spans="1:59" x14ac:dyDescent="0.3">
      <c r="A273" s="4" t="s">
        <v>257</v>
      </c>
      <c r="B273" s="13"/>
      <c r="C273" s="13" t="s">
        <v>1136</v>
      </c>
      <c r="D273" s="101" t="s">
        <v>1822</v>
      </c>
      <c r="E273" s="102"/>
      <c r="F273" s="13" t="s">
        <v>2384</v>
      </c>
      <c r="G273" s="21">
        <v>2</v>
      </c>
      <c r="H273" s="21">
        <v>0</v>
      </c>
      <c r="I273" s="21">
        <f t="shared" si="228"/>
        <v>0</v>
      </c>
      <c r="J273" s="21">
        <f t="shared" si="229"/>
        <v>0</v>
      </c>
      <c r="K273" s="21">
        <f t="shared" si="230"/>
        <v>0</v>
      </c>
      <c r="L273" s="21">
        <v>0</v>
      </c>
      <c r="M273" s="21">
        <f t="shared" si="231"/>
        <v>0</v>
      </c>
      <c r="N273" s="35"/>
      <c r="O273" s="39"/>
      <c r="U273" s="41">
        <f t="shared" si="232"/>
        <v>0</v>
      </c>
      <c r="W273" s="41">
        <f t="shared" si="233"/>
        <v>0</v>
      </c>
      <c r="X273" s="41">
        <f t="shared" si="234"/>
        <v>0</v>
      </c>
      <c r="Y273" s="41">
        <f t="shared" si="235"/>
        <v>0</v>
      </c>
      <c r="Z273" s="41">
        <f t="shared" si="236"/>
        <v>0</v>
      </c>
      <c r="AA273" s="41">
        <f t="shared" si="237"/>
        <v>0</v>
      </c>
      <c r="AB273" s="41">
        <f t="shared" si="238"/>
        <v>0</v>
      </c>
      <c r="AC273" s="41">
        <f t="shared" si="239"/>
        <v>0</v>
      </c>
      <c r="AD273" s="31"/>
      <c r="AE273" s="21">
        <f t="shared" si="240"/>
        <v>0</v>
      </c>
      <c r="AF273" s="21">
        <f t="shared" si="241"/>
        <v>0</v>
      </c>
      <c r="AG273" s="21">
        <f t="shared" si="242"/>
        <v>0</v>
      </c>
      <c r="AI273" s="41">
        <v>21</v>
      </c>
      <c r="AJ273" s="41">
        <f t="shared" si="243"/>
        <v>0</v>
      </c>
      <c r="AK273" s="41">
        <f t="shared" si="244"/>
        <v>0</v>
      </c>
      <c r="AL273" s="42" t="s">
        <v>13</v>
      </c>
      <c r="AQ273" s="41">
        <f t="shared" si="245"/>
        <v>0</v>
      </c>
      <c r="AR273" s="41">
        <f t="shared" si="246"/>
        <v>0</v>
      </c>
      <c r="AS273" s="41">
        <f t="shared" si="247"/>
        <v>0</v>
      </c>
      <c r="AT273" s="44" t="s">
        <v>2438</v>
      </c>
      <c r="AU273" s="44" t="s">
        <v>2480</v>
      </c>
      <c r="AV273" s="31" t="s">
        <v>2486</v>
      </c>
      <c r="AX273" s="41">
        <f t="shared" si="248"/>
        <v>0</v>
      </c>
      <c r="AY273" s="41">
        <f t="shared" si="249"/>
        <v>0</v>
      </c>
      <c r="AZ273" s="41">
        <v>0</v>
      </c>
      <c r="BA273" s="41">
        <f t="shared" si="250"/>
        <v>0</v>
      </c>
      <c r="BC273" s="21">
        <f t="shared" si="251"/>
        <v>0</v>
      </c>
      <c r="BD273" s="21">
        <f t="shared" si="252"/>
        <v>0</v>
      </c>
      <c r="BE273" s="21">
        <f t="shared" si="253"/>
        <v>0</v>
      </c>
      <c r="BF273" s="21" t="s">
        <v>2492</v>
      </c>
      <c r="BG273" s="41">
        <v>728</v>
      </c>
    </row>
    <row r="274" spans="1:59" x14ac:dyDescent="0.3">
      <c r="A274" s="4" t="s">
        <v>258</v>
      </c>
      <c r="B274" s="13"/>
      <c r="C274" s="13" t="s">
        <v>1136</v>
      </c>
      <c r="D274" s="101" t="s">
        <v>1820</v>
      </c>
      <c r="E274" s="102"/>
      <c r="F274" s="13" t="s">
        <v>2384</v>
      </c>
      <c r="G274" s="21">
        <v>4</v>
      </c>
      <c r="H274" s="21">
        <v>0</v>
      </c>
      <c r="I274" s="21">
        <f t="shared" si="228"/>
        <v>0</v>
      </c>
      <c r="J274" s="21">
        <f t="shared" si="229"/>
        <v>0</v>
      </c>
      <c r="K274" s="21">
        <f t="shared" si="230"/>
        <v>0</v>
      </c>
      <c r="L274" s="21">
        <v>0</v>
      </c>
      <c r="M274" s="21">
        <f t="shared" si="231"/>
        <v>0</v>
      </c>
      <c r="N274" s="35"/>
      <c r="O274" s="39"/>
      <c r="U274" s="41">
        <f t="shared" si="232"/>
        <v>0</v>
      </c>
      <c r="W274" s="41">
        <f t="shared" si="233"/>
        <v>0</v>
      </c>
      <c r="X274" s="41">
        <f t="shared" si="234"/>
        <v>0</v>
      </c>
      <c r="Y274" s="41">
        <f t="shared" si="235"/>
        <v>0</v>
      </c>
      <c r="Z274" s="41">
        <f t="shared" si="236"/>
        <v>0</v>
      </c>
      <c r="AA274" s="41">
        <f t="shared" si="237"/>
        <v>0</v>
      </c>
      <c r="AB274" s="41">
        <f t="shared" si="238"/>
        <v>0</v>
      </c>
      <c r="AC274" s="41">
        <f t="shared" si="239"/>
        <v>0</v>
      </c>
      <c r="AD274" s="31"/>
      <c r="AE274" s="21">
        <f t="shared" si="240"/>
        <v>0</v>
      </c>
      <c r="AF274" s="21">
        <f t="shared" si="241"/>
        <v>0</v>
      </c>
      <c r="AG274" s="21">
        <f t="shared" si="242"/>
        <v>0</v>
      </c>
      <c r="AI274" s="41">
        <v>21</v>
      </c>
      <c r="AJ274" s="41">
        <f t="shared" si="243"/>
        <v>0</v>
      </c>
      <c r="AK274" s="41">
        <f t="shared" si="244"/>
        <v>0</v>
      </c>
      <c r="AL274" s="42" t="s">
        <v>13</v>
      </c>
      <c r="AQ274" s="41">
        <f t="shared" si="245"/>
        <v>0</v>
      </c>
      <c r="AR274" s="41">
        <f t="shared" si="246"/>
        <v>0</v>
      </c>
      <c r="AS274" s="41">
        <f t="shared" si="247"/>
        <v>0</v>
      </c>
      <c r="AT274" s="44" t="s">
        <v>2438</v>
      </c>
      <c r="AU274" s="44" t="s">
        <v>2480</v>
      </c>
      <c r="AV274" s="31" t="s">
        <v>2486</v>
      </c>
      <c r="AX274" s="41">
        <f t="shared" si="248"/>
        <v>0</v>
      </c>
      <c r="AY274" s="41">
        <f t="shared" si="249"/>
        <v>0</v>
      </c>
      <c r="AZ274" s="41">
        <v>0</v>
      </c>
      <c r="BA274" s="41">
        <f t="shared" si="250"/>
        <v>0</v>
      </c>
      <c r="BC274" s="21">
        <f t="shared" si="251"/>
        <v>0</v>
      </c>
      <c r="BD274" s="21">
        <f t="shared" si="252"/>
        <v>0</v>
      </c>
      <c r="BE274" s="21">
        <f t="shared" si="253"/>
        <v>0</v>
      </c>
      <c r="BF274" s="21" t="s">
        <v>2492</v>
      </c>
      <c r="BG274" s="41">
        <v>728</v>
      </c>
    </row>
    <row r="275" spans="1:59" x14ac:dyDescent="0.3">
      <c r="A275" s="4" t="s">
        <v>259</v>
      </c>
      <c r="B275" s="13"/>
      <c r="C275" s="13" t="s">
        <v>1136</v>
      </c>
      <c r="D275" s="101" t="s">
        <v>1852</v>
      </c>
      <c r="E275" s="102"/>
      <c r="F275" s="13" t="s">
        <v>2384</v>
      </c>
      <c r="G275" s="21">
        <v>1</v>
      </c>
      <c r="H275" s="21">
        <v>0</v>
      </c>
      <c r="I275" s="21">
        <f t="shared" si="228"/>
        <v>0</v>
      </c>
      <c r="J275" s="21">
        <f t="shared" si="229"/>
        <v>0</v>
      </c>
      <c r="K275" s="21">
        <f t="shared" si="230"/>
        <v>0</v>
      </c>
      <c r="L275" s="21">
        <v>0</v>
      </c>
      <c r="M275" s="21">
        <f t="shared" si="231"/>
        <v>0</v>
      </c>
      <c r="N275" s="35"/>
      <c r="O275" s="39"/>
      <c r="U275" s="41">
        <f t="shared" si="232"/>
        <v>0</v>
      </c>
      <c r="W275" s="41">
        <f t="shared" si="233"/>
        <v>0</v>
      </c>
      <c r="X275" s="41">
        <f t="shared" si="234"/>
        <v>0</v>
      </c>
      <c r="Y275" s="41">
        <f t="shared" si="235"/>
        <v>0</v>
      </c>
      <c r="Z275" s="41">
        <f t="shared" si="236"/>
        <v>0</v>
      </c>
      <c r="AA275" s="41">
        <f t="shared" si="237"/>
        <v>0</v>
      </c>
      <c r="AB275" s="41">
        <f t="shared" si="238"/>
        <v>0</v>
      </c>
      <c r="AC275" s="41">
        <f t="shared" si="239"/>
        <v>0</v>
      </c>
      <c r="AD275" s="31"/>
      <c r="AE275" s="21">
        <f t="shared" si="240"/>
        <v>0</v>
      </c>
      <c r="AF275" s="21">
        <f t="shared" si="241"/>
        <v>0</v>
      </c>
      <c r="AG275" s="21">
        <f t="shared" si="242"/>
        <v>0</v>
      </c>
      <c r="AI275" s="41">
        <v>21</v>
      </c>
      <c r="AJ275" s="41">
        <f t="shared" si="243"/>
        <v>0</v>
      </c>
      <c r="AK275" s="41">
        <f t="shared" si="244"/>
        <v>0</v>
      </c>
      <c r="AL275" s="42" t="s">
        <v>13</v>
      </c>
      <c r="AQ275" s="41">
        <f t="shared" si="245"/>
        <v>0</v>
      </c>
      <c r="AR275" s="41">
        <f t="shared" si="246"/>
        <v>0</v>
      </c>
      <c r="AS275" s="41">
        <f t="shared" si="247"/>
        <v>0</v>
      </c>
      <c r="AT275" s="44" t="s">
        <v>2438</v>
      </c>
      <c r="AU275" s="44" t="s">
        <v>2480</v>
      </c>
      <c r="AV275" s="31" t="s">
        <v>2486</v>
      </c>
      <c r="AX275" s="41">
        <f t="shared" si="248"/>
        <v>0</v>
      </c>
      <c r="AY275" s="41">
        <f t="shared" si="249"/>
        <v>0</v>
      </c>
      <c r="AZ275" s="41">
        <v>0</v>
      </c>
      <c r="BA275" s="41">
        <f t="shared" si="250"/>
        <v>0</v>
      </c>
      <c r="BC275" s="21">
        <f t="shared" si="251"/>
        <v>0</v>
      </c>
      <c r="BD275" s="21">
        <f t="shared" si="252"/>
        <v>0</v>
      </c>
      <c r="BE275" s="21">
        <f t="shared" si="253"/>
        <v>0</v>
      </c>
      <c r="BF275" s="21" t="s">
        <v>2492</v>
      </c>
      <c r="BG275" s="41">
        <v>728</v>
      </c>
    </row>
    <row r="276" spans="1:59" x14ac:dyDescent="0.3">
      <c r="A276" s="4" t="s">
        <v>260</v>
      </c>
      <c r="B276" s="13"/>
      <c r="C276" s="13" t="s">
        <v>1136</v>
      </c>
      <c r="D276" s="101" t="s">
        <v>1853</v>
      </c>
      <c r="E276" s="102"/>
      <c r="F276" s="13" t="s">
        <v>2384</v>
      </c>
      <c r="G276" s="21">
        <v>1</v>
      </c>
      <c r="H276" s="21">
        <v>0</v>
      </c>
      <c r="I276" s="21">
        <f t="shared" si="228"/>
        <v>0</v>
      </c>
      <c r="J276" s="21">
        <f t="shared" si="229"/>
        <v>0</v>
      </c>
      <c r="K276" s="21">
        <f t="shared" si="230"/>
        <v>0</v>
      </c>
      <c r="L276" s="21">
        <v>0</v>
      </c>
      <c r="M276" s="21">
        <f t="shared" si="231"/>
        <v>0</v>
      </c>
      <c r="N276" s="35"/>
      <c r="O276" s="39"/>
      <c r="U276" s="41">
        <f t="shared" si="232"/>
        <v>0</v>
      </c>
      <c r="W276" s="41">
        <f t="shared" si="233"/>
        <v>0</v>
      </c>
      <c r="X276" s="41">
        <f t="shared" si="234"/>
        <v>0</v>
      </c>
      <c r="Y276" s="41">
        <f t="shared" si="235"/>
        <v>0</v>
      </c>
      <c r="Z276" s="41">
        <f t="shared" si="236"/>
        <v>0</v>
      </c>
      <c r="AA276" s="41">
        <f t="shared" si="237"/>
        <v>0</v>
      </c>
      <c r="AB276" s="41">
        <f t="shared" si="238"/>
        <v>0</v>
      </c>
      <c r="AC276" s="41">
        <f t="shared" si="239"/>
        <v>0</v>
      </c>
      <c r="AD276" s="31"/>
      <c r="AE276" s="21">
        <f t="shared" si="240"/>
        <v>0</v>
      </c>
      <c r="AF276" s="21">
        <f t="shared" si="241"/>
        <v>0</v>
      </c>
      <c r="AG276" s="21">
        <f t="shared" si="242"/>
        <v>0</v>
      </c>
      <c r="AI276" s="41">
        <v>21</v>
      </c>
      <c r="AJ276" s="41">
        <f t="shared" si="243"/>
        <v>0</v>
      </c>
      <c r="AK276" s="41">
        <f t="shared" si="244"/>
        <v>0</v>
      </c>
      <c r="AL276" s="42" t="s">
        <v>13</v>
      </c>
      <c r="AQ276" s="41">
        <f t="shared" si="245"/>
        <v>0</v>
      </c>
      <c r="AR276" s="41">
        <f t="shared" si="246"/>
        <v>0</v>
      </c>
      <c r="AS276" s="41">
        <f t="shared" si="247"/>
        <v>0</v>
      </c>
      <c r="AT276" s="44" t="s">
        <v>2438</v>
      </c>
      <c r="AU276" s="44" t="s">
        <v>2480</v>
      </c>
      <c r="AV276" s="31" t="s">
        <v>2486</v>
      </c>
      <c r="AX276" s="41">
        <f t="shared" si="248"/>
        <v>0</v>
      </c>
      <c r="AY276" s="41">
        <f t="shared" si="249"/>
        <v>0</v>
      </c>
      <c r="AZ276" s="41">
        <v>0</v>
      </c>
      <c r="BA276" s="41">
        <f t="shared" si="250"/>
        <v>0</v>
      </c>
      <c r="BC276" s="21">
        <f t="shared" si="251"/>
        <v>0</v>
      </c>
      <c r="BD276" s="21">
        <f t="shared" si="252"/>
        <v>0</v>
      </c>
      <c r="BE276" s="21">
        <f t="shared" si="253"/>
        <v>0</v>
      </c>
      <c r="BF276" s="21" t="s">
        <v>2492</v>
      </c>
      <c r="BG276" s="41">
        <v>728</v>
      </c>
    </row>
    <row r="277" spans="1:59" x14ac:dyDescent="0.3">
      <c r="A277" s="4" t="s">
        <v>261</v>
      </c>
      <c r="B277" s="13"/>
      <c r="C277" s="13" t="s">
        <v>1136</v>
      </c>
      <c r="D277" s="101" t="s">
        <v>1827</v>
      </c>
      <c r="E277" s="102"/>
      <c r="F277" s="13" t="s">
        <v>2384</v>
      </c>
      <c r="G277" s="21">
        <v>1</v>
      </c>
      <c r="H277" s="21">
        <v>0</v>
      </c>
      <c r="I277" s="21">
        <f t="shared" si="228"/>
        <v>0</v>
      </c>
      <c r="J277" s="21">
        <f t="shared" si="229"/>
        <v>0</v>
      </c>
      <c r="K277" s="21">
        <f t="shared" si="230"/>
        <v>0</v>
      </c>
      <c r="L277" s="21">
        <v>0</v>
      </c>
      <c r="M277" s="21">
        <f t="shared" si="231"/>
        <v>0</v>
      </c>
      <c r="N277" s="35"/>
      <c r="O277" s="39"/>
      <c r="U277" s="41">
        <f t="shared" si="232"/>
        <v>0</v>
      </c>
      <c r="W277" s="41">
        <f t="shared" si="233"/>
        <v>0</v>
      </c>
      <c r="X277" s="41">
        <f t="shared" si="234"/>
        <v>0</v>
      </c>
      <c r="Y277" s="41">
        <f t="shared" si="235"/>
        <v>0</v>
      </c>
      <c r="Z277" s="41">
        <f t="shared" si="236"/>
        <v>0</v>
      </c>
      <c r="AA277" s="41">
        <f t="shared" si="237"/>
        <v>0</v>
      </c>
      <c r="AB277" s="41">
        <f t="shared" si="238"/>
        <v>0</v>
      </c>
      <c r="AC277" s="41">
        <f t="shared" si="239"/>
        <v>0</v>
      </c>
      <c r="AD277" s="31"/>
      <c r="AE277" s="21">
        <f t="shared" si="240"/>
        <v>0</v>
      </c>
      <c r="AF277" s="21">
        <f t="shared" si="241"/>
        <v>0</v>
      </c>
      <c r="AG277" s="21">
        <f t="shared" si="242"/>
        <v>0</v>
      </c>
      <c r="AI277" s="41">
        <v>21</v>
      </c>
      <c r="AJ277" s="41">
        <f t="shared" si="243"/>
        <v>0</v>
      </c>
      <c r="AK277" s="41">
        <f t="shared" si="244"/>
        <v>0</v>
      </c>
      <c r="AL277" s="42" t="s">
        <v>13</v>
      </c>
      <c r="AQ277" s="41">
        <f t="shared" si="245"/>
        <v>0</v>
      </c>
      <c r="AR277" s="41">
        <f t="shared" si="246"/>
        <v>0</v>
      </c>
      <c r="AS277" s="41">
        <f t="shared" si="247"/>
        <v>0</v>
      </c>
      <c r="AT277" s="44" t="s">
        <v>2438</v>
      </c>
      <c r="AU277" s="44" t="s">
        <v>2480</v>
      </c>
      <c r="AV277" s="31" t="s">
        <v>2486</v>
      </c>
      <c r="AX277" s="41">
        <f t="shared" si="248"/>
        <v>0</v>
      </c>
      <c r="AY277" s="41">
        <f t="shared" si="249"/>
        <v>0</v>
      </c>
      <c r="AZ277" s="41">
        <v>0</v>
      </c>
      <c r="BA277" s="41">
        <f t="shared" si="250"/>
        <v>0</v>
      </c>
      <c r="BC277" s="21">
        <f t="shared" si="251"/>
        <v>0</v>
      </c>
      <c r="BD277" s="21">
        <f t="shared" si="252"/>
        <v>0</v>
      </c>
      <c r="BE277" s="21">
        <f t="shared" si="253"/>
        <v>0</v>
      </c>
      <c r="BF277" s="21" t="s">
        <v>2492</v>
      </c>
      <c r="BG277" s="41">
        <v>728</v>
      </c>
    </row>
    <row r="278" spans="1:59" x14ac:dyDescent="0.3">
      <c r="A278" s="4" t="s">
        <v>262</v>
      </c>
      <c r="B278" s="13"/>
      <c r="C278" s="13" t="s">
        <v>1136</v>
      </c>
      <c r="D278" s="101" t="s">
        <v>1854</v>
      </c>
      <c r="E278" s="102"/>
      <c r="F278" s="13" t="s">
        <v>2384</v>
      </c>
      <c r="G278" s="21">
        <v>3</v>
      </c>
      <c r="H278" s="21">
        <v>0</v>
      </c>
      <c r="I278" s="21">
        <f t="shared" si="228"/>
        <v>0</v>
      </c>
      <c r="J278" s="21">
        <f t="shared" si="229"/>
        <v>0</v>
      </c>
      <c r="K278" s="21">
        <f t="shared" si="230"/>
        <v>0</v>
      </c>
      <c r="L278" s="21">
        <v>0</v>
      </c>
      <c r="M278" s="21">
        <f t="shared" si="231"/>
        <v>0</v>
      </c>
      <c r="N278" s="35"/>
      <c r="O278" s="39"/>
      <c r="U278" s="41">
        <f t="shared" si="232"/>
        <v>0</v>
      </c>
      <c r="W278" s="41">
        <f t="shared" si="233"/>
        <v>0</v>
      </c>
      <c r="X278" s="41">
        <f t="shared" si="234"/>
        <v>0</v>
      </c>
      <c r="Y278" s="41">
        <f t="shared" si="235"/>
        <v>0</v>
      </c>
      <c r="Z278" s="41">
        <f t="shared" si="236"/>
        <v>0</v>
      </c>
      <c r="AA278" s="41">
        <f t="shared" si="237"/>
        <v>0</v>
      </c>
      <c r="AB278" s="41">
        <f t="shared" si="238"/>
        <v>0</v>
      </c>
      <c r="AC278" s="41">
        <f t="shared" si="239"/>
        <v>0</v>
      </c>
      <c r="AD278" s="31"/>
      <c r="AE278" s="21">
        <f t="shared" si="240"/>
        <v>0</v>
      </c>
      <c r="AF278" s="21">
        <f t="shared" si="241"/>
        <v>0</v>
      </c>
      <c r="AG278" s="21">
        <f t="shared" si="242"/>
        <v>0</v>
      </c>
      <c r="AI278" s="41">
        <v>21</v>
      </c>
      <c r="AJ278" s="41">
        <f t="shared" si="243"/>
        <v>0</v>
      </c>
      <c r="AK278" s="41">
        <f t="shared" si="244"/>
        <v>0</v>
      </c>
      <c r="AL278" s="42" t="s">
        <v>13</v>
      </c>
      <c r="AQ278" s="41">
        <f t="shared" si="245"/>
        <v>0</v>
      </c>
      <c r="AR278" s="41">
        <f t="shared" si="246"/>
        <v>0</v>
      </c>
      <c r="AS278" s="41">
        <f t="shared" si="247"/>
        <v>0</v>
      </c>
      <c r="AT278" s="44" t="s">
        <v>2438</v>
      </c>
      <c r="AU278" s="44" t="s">
        <v>2480</v>
      </c>
      <c r="AV278" s="31" t="s">
        <v>2486</v>
      </c>
      <c r="AX278" s="41">
        <f t="shared" si="248"/>
        <v>0</v>
      </c>
      <c r="AY278" s="41">
        <f t="shared" si="249"/>
        <v>0</v>
      </c>
      <c r="AZ278" s="41">
        <v>0</v>
      </c>
      <c r="BA278" s="41">
        <f t="shared" si="250"/>
        <v>0</v>
      </c>
      <c r="BC278" s="21">
        <f t="shared" si="251"/>
        <v>0</v>
      </c>
      <c r="BD278" s="21">
        <f t="shared" si="252"/>
        <v>0</v>
      </c>
      <c r="BE278" s="21">
        <f t="shared" si="253"/>
        <v>0</v>
      </c>
      <c r="BF278" s="21" t="s">
        <v>2492</v>
      </c>
      <c r="BG278" s="41">
        <v>728</v>
      </c>
    </row>
    <row r="279" spans="1:59" x14ac:dyDescent="0.3">
      <c r="A279" s="4" t="s">
        <v>263</v>
      </c>
      <c r="B279" s="13"/>
      <c r="C279" s="13" t="s">
        <v>1136</v>
      </c>
      <c r="D279" s="101" t="s">
        <v>1830</v>
      </c>
      <c r="E279" s="102"/>
      <c r="F279" s="13" t="s">
        <v>2387</v>
      </c>
      <c r="G279" s="21">
        <v>111</v>
      </c>
      <c r="H279" s="21">
        <v>0</v>
      </c>
      <c r="I279" s="21">
        <f t="shared" si="228"/>
        <v>0</v>
      </c>
      <c r="J279" s="21">
        <f t="shared" si="229"/>
        <v>0</v>
      </c>
      <c r="K279" s="21">
        <f t="shared" si="230"/>
        <v>0</v>
      </c>
      <c r="L279" s="21">
        <v>0</v>
      </c>
      <c r="M279" s="21">
        <f t="shared" si="231"/>
        <v>0</v>
      </c>
      <c r="N279" s="35"/>
      <c r="O279" s="39"/>
      <c r="U279" s="41">
        <f t="shared" si="232"/>
        <v>0</v>
      </c>
      <c r="W279" s="41">
        <f t="shared" si="233"/>
        <v>0</v>
      </c>
      <c r="X279" s="41">
        <f t="shared" si="234"/>
        <v>0</v>
      </c>
      <c r="Y279" s="41">
        <f t="shared" si="235"/>
        <v>0</v>
      </c>
      <c r="Z279" s="41">
        <f t="shared" si="236"/>
        <v>0</v>
      </c>
      <c r="AA279" s="41">
        <f t="shared" si="237"/>
        <v>0</v>
      </c>
      <c r="AB279" s="41">
        <f t="shared" si="238"/>
        <v>0</v>
      </c>
      <c r="AC279" s="41">
        <f t="shared" si="239"/>
        <v>0</v>
      </c>
      <c r="AD279" s="31"/>
      <c r="AE279" s="21">
        <f t="shared" si="240"/>
        <v>0</v>
      </c>
      <c r="AF279" s="21">
        <f t="shared" si="241"/>
        <v>0</v>
      </c>
      <c r="AG279" s="21">
        <f t="shared" si="242"/>
        <v>0</v>
      </c>
      <c r="AI279" s="41">
        <v>21</v>
      </c>
      <c r="AJ279" s="41">
        <f t="shared" si="243"/>
        <v>0</v>
      </c>
      <c r="AK279" s="41">
        <f t="shared" si="244"/>
        <v>0</v>
      </c>
      <c r="AL279" s="42" t="s">
        <v>13</v>
      </c>
      <c r="AQ279" s="41">
        <f t="shared" si="245"/>
        <v>0</v>
      </c>
      <c r="AR279" s="41">
        <f t="shared" si="246"/>
        <v>0</v>
      </c>
      <c r="AS279" s="41">
        <f t="shared" si="247"/>
        <v>0</v>
      </c>
      <c r="AT279" s="44" t="s">
        <v>2438</v>
      </c>
      <c r="AU279" s="44" t="s">
        <v>2480</v>
      </c>
      <c r="AV279" s="31" t="s">
        <v>2486</v>
      </c>
      <c r="AX279" s="41">
        <f t="shared" si="248"/>
        <v>0</v>
      </c>
      <c r="AY279" s="41">
        <f t="shared" si="249"/>
        <v>0</v>
      </c>
      <c r="AZ279" s="41">
        <v>0</v>
      </c>
      <c r="BA279" s="41">
        <f t="shared" si="250"/>
        <v>0</v>
      </c>
      <c r="BC279" s="21">
        <f t="shared" si="251"/>
        <v>0</v>
      </c>
      <c r="BD279" s="21">
        <f t="shared" si="252"/>
        <v>0</v>
      </c>
      <c r="BE279" s="21">
        <f t="shared" si="253"/>
        <v>0</v>
      </c>
      <c r="BF279" s="21" t="s">
        <v>2492</v>
      </c>
      <c r="BG279" s="41">
        <v>728</v>
      </c>
    </row>
    <row r="280" spans="1:59" x14ac:dyDescent="0.3">
      <c r="A280" s="4" t="s">
        <v>264</v>
      </c>
      <c r="B280" s="13"/>
      <c r="C280" s="13" t="s">
        <v>1136</v>
      </c>
      <c r="D280" s="101" t="s">
        <v>1831</v>
      </c>
      <c r="E280" s="102"/>
      <c r="F280" s="13" t="s">
        <v>2394</v>
      </c>
      <c r="G280" s="21">
        <v>12</v>
      </c>
      <c r="H280" s="21">
        <v>0</v>
      </c>
      <c r="I280" s="21">
        <f t="shared" si="228"/>
        <v>0</v>
      </c>
      <c r="J280" s="21">
        <f t="shared" si="229"/>
        <v>0</v>
      </c>
      <c r="K280" s="21">
        <f t="shared" si="230"/>
        <v>0</v>
      </c>
      <c r="L280" s="21">
        <v>0</v>
      </c>
      <c r="M280" s="21">
        <f t="shared" si="231"/>
        <v>0</v>
      </c>
      <c r="N280" s="35"/>
      <c r="O280" s="39"/>
      <c r="U280" s="41">
        <f t="shared" si="232"/>
        <v>0</v>
      </c>
      <c r="W280" s="41">
        <f t="shared" si="233"/>
        <v>0</v>
      </c>
      <c r="X280" s="41">
        <f t="shared" si="234"/>
        <v>0</v>
      </c>
      <c r="Y280" s="41">
        <f t="shared" si="235"/>
        <v>0</v>
      </c>
      <c r="Z280" s="41">
        <f t="shared" si="236"/>
        <v>0</v>
      </c>
      <c r="AA280" s="41">
        <f t="shared" si="237"/>
        <v>0</v>
      </c>
      <c r="AB280" s="41">
        <f t="shared" si="238"/>
        <v>0</v>
      </c>
      <c r="AC280" s="41">
        <f t="shared" si="239"/>
        <v>0</v>
      </c>
      <c r="AD280" s="31"/>
      <c r="AE280" s="21">
        <f t="shared" si="240"/>
        <v>0</v>
      </c>
      <c r="AF280" s="21">
        <f t="shared" si="241"/>
        <v>0</v>
      </c>
      <c r="AG280" s="21">
        <f t="shared" si="242"/>
        <v>0</v>
      </c>
      <c r="AI280" s="41">
        <v>21</v>
      </c>
      <c r="AJ280" s="41">
        <f t="shared" si="243"/>
        <v>0</v>
      </c>
      <c r="AK280" s="41">
        <f t="shared" si="244"/>
        <v>0</v>
      </c>
      <c r="AL280" s="42" t="s">
        <v>13</v>
      </c>
      <c r="AQ280" s="41">
        <f t="shared" si="245"/>
        <v>0</v>
      </c>
      <c r="AR280" s="41">
        <f t="shared" si="246"/>
        <v>0</v>
      </c>
      <c r="AS280" s="41">
        <f t="shared" si="247"/>
        <v>0</v>
      </c>
      <c r="AT280" s="44" t="s">
        <v>2438</v>
      </c>
      <c r="AU280" s="44" t="s">
        <v>2480</v>
      </c>
      <c r="AV280" s="31" t="s">
        <v>2486</v>
      </c>
      <c r="AX280" s="41">
        <f t="shared" si="248"/>
        <v>0</v>
      </c>
      <c r="AY280" s="41">
        <f t="shared" si="249"/>
        <v>0</v>
      </c>
      <c r="AZ280" s="41">
        <v>0</v>
      </c>
      <c r="BA280" s="41">
        <f t="shared" si="250"/>
        <v>0</v>
      </c>
      <c r="BC280" s="21">
        <f t="shared" si="251"/>
        <v>0</v>
      </c>
      <c r="BD280" s="21">
        <f t="shared" si="252"/>
        <v>0</v>
      </c>
      <c r="BE280" s="21">
        <f t="shared" si="253"/>
        <v>0</v>
      </c>
      <c r="BF280" s="21" t="s">
        <v>2492</v>
      </c>
      <c r="BG280" s="41">
        <v>728</v>
      </c>
    </row>
    <row r="281" spans="1:59" x14ac:dyDescent="0.3">
      <c r="A281" s="4" t="s">
        <v>265</v>
      </c>
      <c r="B281" s="13"/>
      <c r="C281" s="13" t="s">
        <v>1136</v>
      </c>
      <c r="D281" s="101" t="s">
        <v>1832</v>
      </c>
      <c r="E281" s="102"/>
      <c r="F281" s="13" t="s">
        <v>2394</v>
      </c>
      <c r="G281" s="21">
        <v>36</v>
      </c>
      <c r="H281" s="21">
        <v>0</v>
      </c>
      <c r="I281" s="21">
        <f t="shared" si="228"/>
        <v>0</v>
      </c>
      <c r="J281" s="21">
        <f t="shared" si="229"/>
        <v>0</v>
      </c>
      <c r="K281" s="21">
        <f t="shared" si="230"/>
        <v>0</v>
      </c>
      <c r="L281" s="21">
        <v>0</v>
      </c>
      <c r="M281" s="21">
        <f t="shared" si="231"/>
        <v>0</v>
      </c>
      <c r="N281" s="35"/>
      <c r="O281" s="39"/>
      <c r="U281" s="41">
        <f t="shared" si="232"/>
        <v>0</v>
      </c>
      <c r="W281" s="41">
        <f t="shared" si="233"/>
        <v>0</v>
      </c>
      <c r="X281" s="41">
        <f t="shared" si="234"/>
        <v>0</v>
      </c>
      <c r="Y281" s="41">
        <f t="shared" si="235"/>
        <v>0</v>
      </c>
      <c r="Z281" s="41">
        <f t="shared" si="236"/>
        <v>0</v>
      </c>
      <c r="AA281" s="41">
        <f t="shared" si="237"/>
        <v>0</v>
      </c>
      <c r="AB281" s="41">
        <f t="shared" si="238"/>
        <v>0</v>
      </c>
      <c r="AC281" s="41">
        <f t="shared" si="239"/>
        <v>0</v>
      </c>
      <c r="AD281" s="31"/>
      <c r="AE281" s="21">
        <f t="shared" si="240"/>
        <v>0</v>
      </c>
      <c r="AF281" s="21">
        <f t="shared" si="241"/>
        <v>0</v>
      </c>
      <c r="AG281" s="21">
        <f t="shared" si="242"/>
        <v>0</v>
      </c>
      <c r="AI281" s="41">
        <v>21</v>
      </c>
      <c r="AJ281" s="41">
        <f t="shared" si="243"/>
        <v>0</v>
      </c>
      <c r="AK281" s="41">
        <f t="shared" si="244"/>
        <v>0</v>
      </c>
      <c r="AL281" s="42" t="s">
        <v>13</v>
      </c>
      <c r="AQ281" s="41">
        <f t="shared" si="245"/>
        <v>0</v>
      </c>
      <c r="AR281" s="41">
        <f t="shared" si="246"/>
        <v>0</v>
      </c>
      <c r="AS281" s="41">
        <f t="shared" si="247"/>
        <v>0</v>
      </c>
      <c r="AT281" s="44" t="s">
        <v>2438</v>
      </c>
      <c r="AU281" s="44" t="s">
        <v>2480</v>
      </c>
      <c r="AV281" s="31" t="s">
        <v>2486</v>
      </c>
      <c r="AX281" s="41">
        <f t="shared" si="248"/>
        <v>0</v>
      </c>
      <c r="AY281" s="41">
        <f t="shared" si="249"/>
        <v>0</v>
      </c>
      <c r="AZ281" s="41">
        <v>0</v>
      </c>
      <c r="BA281" s="41">
        <f t="shared" si="250"/>
        <v>0</v>
      </c>
      <c r="BC281" s="21">
        <f t="shared" si="251"/>
        <v>0</v>
      </c>
      <c r="BD281" s="21">
        <f t="shared" si="252"/>
        <v>0</v>
      </c>
      <c r="BE281" s="21">
        <f t="shared" si="253"/>
        <v>0</v>
      </c>
      <c r="BF281" s="21" t="s">
        <v>2492</v>
      </c>
      <c r="BG281" s="41">
        <v>728</v>
      </c>
    </row>
    <row r="282" spans="1:59" x14ac:dyDescent="0.3">
      <c r="A282" s="4" t="s">
        <v>266</v>
      </c>
      <c r="B282" s="13"/>
      <c r="C282" s="13" t="s">
        <v>1136</v>
      </c>
      <c r="D282" s="101" t="s">
        <v>1833</v>
      </c>
      <c r="E282" s="102"/>
      <c r="F282" s="13" t="s">
        <v>2394</v>
      </c>
      <c r="G282" s="21">
        <v>21</v>
      </c>
      <c r="H282" s="21">
        <v>0</v>
      </c>
      <c r="I282" s="21">
        <f t="shared" si="228"/>
        <v>0</v>
      </c>
      <c r="J282" s="21">
        <f t="shared" si="229"/>
        <v>0</v>
      </c>
      <c r="K282" s="21">
        <f t="shared" si="230"/>
        <v>0</v>
      </c>
      <c r="L282" s="21">
        <v>0</v>
      </c>
      <c r="M282" s="21">
        <f t="shared" si="231"/>
        <v>0</v>
      </c>
      <c r="N282" s="35"/>
      <c r="O282" s="39"/>
      <c r="U282" s="41">
        <f t="shared" si="232"/>
        <v>0</v>
      </c>
      <c r="W282" s="41">
        <f t="shared" si="233"/>
        <v>0</v>
      </c>
      <c r="X282" s="41">
        <f t="shared" si="234"/>
        <v>0</v>
      </c>
      <c r="Y282" s="41">
        <f t="shared" si="235"/>
        <v>0</v>
      </c>
      <c r="Z282" s="41">
        <f t="shared" si="236"/>
        <v>0</v>
      </c>
      <c r="AA282" s="41">
        <f t="shared" si="237"/>
        <v>0</v>
      </c>
      <c r="AB282" s="41">
        <f t="shared" si="238"/>
        <v>0</v>
      </c>
      <c r="AC282" s="41">
        <f t="shared" si="239"/>
        <v>0</v>
      </c>
      <c r="AD282" s="31"/>
      <c r="AE282" s="21">
        <f t="shared" si="240"/>
        <v>0</v>
      </c>
      <c r="AF282" s="21">
        <f t="shared" si="241"/>
        <v>0</v>
      </c>
      <c r="AG282" s="21">
        <f t="shared" si="242"/>
        <v>0</v>
      </c>
      <c r="AI282" s="41">
        <v>21</v>
      </c>
      <c r="AJ282" s="41">
        <f t="shared" si="243"/>
        <v>0</v>
      </c>
      <c r="AK282" s="41">
        <f t="shared" si="244"/>
        <v>0</v>
      </c>
      <c r="AL282" s="42" t="s">
        <v>13</v>
      </c>
      <c r="AQ282" s="41">
        <f t="shared" si="245"/>
        <v>0</v>
      </c>
      <c r="AR282" s="41">
        <f t="shared" si="246"/>
        <v>0</v>
      </c>
      <c r="AS282" s="41">
        <f t="shared" si="247"/>
        <v>0</v>
      </c>
      <c r="AT282" s="44" t="s">
        <v>2438</v>
      </c>
      <c r="AU282" s="44" t="s">
        <v>2480</v>
      </c>
      <c r="AV282" s="31" t="s">
        <v>2486</v>
      </c>
      <c r="AX282" s="41">
        <f t="shared" si="248"/>
        <v>0</v>
      </c>
      <c r="AY282" s="41">
        <f t="shared" si="249"/>
        <v>0</v>
      </c>
      <c r="AZ282" s="41">
        <v>0</v>
      </c>
      <c r="BA282" s="41">
        <f t="shared" si="250"/>
        <v>0</v>
      </c>
      <c r="BC282" s="21">
        <f t="shared" si="251"/>
        <v>0</v>
      </c>
      <c r="BD282" s="21">
        <f t="shared" si="252"/>
        <v>0</v>
      </c>
      <c r="BE282" s="21">
        <f t="shared" si="253"/>
        <v>0</v>
      </c>
      <c r="BF282" s="21" t="s">
        <v>2492</v>
      </c>
      <c r="BG282" s="41">
        <v>728</v>
      </c>
    </row>
    <row r="283" spans="1:59" x14ac:dyDescent="0.3">
      <c r="A283" s="4" t="s">
        <v>267</v>
      </c>
      <c r="B283" s="13"/>
      <c r="C283" s="13" t="s">
        <v>1136</v>
      </c>
      <c r="D283" s="101" t="s">
        <v>1834</v>
      </c>
      <c r="E283" s="102"/>
      <c r="F283" s="13" t="s">
        <v>2394</v>
      </c>
      <c r="G283" s="21">
        <v>18</v>
      </c>
      <c r="H283" s="21">
        <v>0</v>
      </c>
      <c r="I283" s="21">
        <f t="shared" si="228"/>
        <v>0</v>
      </c>
      <c r="J283" s="21">
        <f t="shared" si="229"/>
        <v>0</v>
      </c>
      <c r="K283" s="21">
        <f t="shared" si="230"/>
        <v>0</v>
      </c>
      <c r="L283" s="21">
        <v>0</v>
      </c>
      <c r="M283" s="21">
        <f t="shared" si="231"/>
        <v>0</v>
      </c>
      <c r="N283" s="35"/>
      <c r="O283" s="39"/>
      <c r="U283" s="41">
        <f t="shared" si="232"/>
        <v>0</v>
      </c>
      <c r="W283" s="41">
        <f t="shared" si="233"/>
        <v>0</v>
      </c>
      <c r="X283" s="41">
        <f t="shared" si="234"/>
        <v>0</v>
      </c>
      <c r="Y283" s="41">
        <f t="shared" si="235"/>
        <v>0</v>
      </c>
      <c r="Z283" s="41">
        <f t="shared" si="236"/>
        <v>0</v>
      </c>
      <c r="AA283" s="41">
        <f t="shared" si="237"/>
        <v>0</v>
      </c>
      <c r="AB283" s="41">
        <f t="shared" si="238"/>
        <v>0</v>
      </c>
      <c r="AC283" s="41">
        <f t="shared" si="239"/>
        <v>0</v>
      </c>
      <c r="AD283" s="31"/>
      <c r="AE283" s="21">
        <f t="shared" si="240"/>
        <v>0</v>
      </c>
      <c r="AF283" s="21">
        <f t="shared" si="241"/>
        <v>0</v>
      </c>
      <c r="AG283" s="21">
        <f t="shared" si="242"/>
        <v>0</v>
      </c>
      <c r="AI283" s="41">
        <v>21</v>
      </c>
      <c r="AJ283" s="41">
        <f t="shared" si="243"/>
        <v>0</v>
      </c>
      <c r="AK283" s="41">
        <f t="shared" si="244"/>
        <v>0</v>
      </c>
      <c r="AL283" s="42" t="s">
        <v>13</v>
      </c>
      <c r="AQ283" s="41">
        <f t="shared" si="245"/>
        <v>0</v>
      </c>
      <c r="AR283" s="41">
        <f t="shared" si="246"/>
        <v>0</v>
      </c>
      <c r="AS283" s="41">
        <f t="shared" si="247"/>
        <v>0</v>
      </c>
      <c r="AT283" s="44" t="s">
        <v>2438</v>
      </c>
      <c r="AU283" s="44" t="s">
        <v>2480</v>
      </c>
      <c r="AV283" s="31" t="s">
        <v>2486</v>
      </c>
      <c r="AX283" s="41">
        <f t="shared" si="248"/>
        <v>0</v>
      </c>
      <c r="AY283" s="41">
        <f t="shared" si="249"/>
        <v>0</v>
      </c>
      <c r="AZ283" s="41">
        <v>0</v>
      </c>
      <c r="BA283" s="41">
        <f t="shared" si="250"/>
        <v>0</v>
      </c>
      <c r="BC283" s="21">
        <f t="shared" si="251"/>
        <v>0</v>
      </c>
      <c r="BD283" s="21">
        <f t="shared" si="252"/>
        <v>0</v>
      </c>
      <c r="BE283" s="21">
        <f t="shared" si="253"/>
        <v>0</v>
      </c>
      <c r="BF283" s="21" t="s">
        <v>2492</v>
      </c>
      <c r="BG283" s="41">
        <v>728</v>
      </c>
    </row>
    <row r="284" spans="1:59" x14ac:dyDescent="0.3">
      <c r="A284" s="4" t="s">
        <v>268</v>
      </c>
      <c r="B284" s="13"/>
      <c r="C284" s="13" t="s">
        <v>1136</v>
      </c>
      <c r="D284" s="101" t="s">
        <v>1835</v>
      </c>
      <c r="E284" s="102"/>
      <c r="F284" s="13" t="s">
        <v>2394</v>
      </c>
      <c r="G284" s="21">
        <v>6</v>
      </c>
      <c r="H284" s="21">
        <v>0</v>
      </c>
      <c r="I284" s="21">
        <f t="shared" si="228"/>
        <v>0</v>
      </c>
      <c r="J284" s="21">
        <f t="shared" si="229"/>
        <v>0</v>
      </c>
      <c r="K284" s="21">
        <f t="shared" si="230"/>
        <v>0</v>
      </c>
      <c r="L284" s="21">
        <v>0</v>
      </c>
      <c r="M284" s="21">
        <f t="shared" si="231"/>
        <v>0</v>
      </c>
      <c r="N284" s="35"/>
      <c r="O284" s="39"/>
      <c r="U284" s="41">
        <f t="shared" si="232"/>
        <v>0</v>
      </c>
      <c r="W284" s="41">
        <f t="shared" si="233"/>
        <v>0</v>
      </c>
      <c r="X284" s="41">
        <f t="shared" si="234"/>
        <v>0</v>
      </c>
      <c r="Y284" s="41">
        <f t="shared" si="235"/>
        <v>0</v>
      </c>
      <c r="Z284" s="41">
        <f t="shared" si="236"/>
        <v>0</v>
      </c>
      <c r="AA284" s="41">
        <f t="shared" si="237"/>
        <v>0</v>
      </c>
      <c r="AB284" s="41">
        <f t="shared" si="238"/>
        <v>0</v>
      </c>
      <c r="AC284" s="41">
        <f t="shared" si="239"/>
        <v>0</v>
      </c>
      <c r="AD284" s="31"/>
      <c r="AE284" s="21">
        <f t="shared" si="240"/>
        <v>0</v>
      </c>
      <c r="AF284" s="21">
        <f t="shared" si="241"/>
        <v>0</v>
      </c>
      <c r="AG284" s="21">
        <f t="shared" si="242"/>
        <v>0</v>
      </c>
      <c r="AI284" s="41">
        <v>21</v>
      </c>
      <c r="AJ284" s="41">
        <f t="shared" si="243"/>
        <v>0</v>
      </c>
      <c r="AK284" s="41">
        <f t="shared" si="244"/>
        <v>0</v>
      </c>
      <c r="AL284" s="42" t="s">
        <v>13</v>
      </c>
      <c r="AQ284" s="41">
        <f t="shared" si="245"/>
        <v>0</v>
      </c>
      <c r="AR284" s="41">
        <f t="shared" si="246"/>
        <v>0</v>
      </c>
      <c r="AS284" s="41">
        <f t="shared" si="247"/>
        <v>0</v>
      </c>
      <c r="AT284" s="44" t="s">
        <v>2438</v>
      </c>
      <c r="AU284" s="44" t="s">
        <v>2480</v>
      </c>
      <c r="AV284" s="31" t="s">
        <v>2486</v>
      </c>
      <c r="AX284" s="41">
        <f t="shared" si="248"/>
        <v>0</v>
      </c>
      <c r="AY284" s="41">
        <f t="shared" si="249"/>
        <v>0</v>
      </c>
      <c r="AZ284" s="41">
        <v>0</v>
      </c>
      <c r="BA284" s="41">
        <f t="shared" si="250"/>
        <v>0</v>
      </c>
      <c r="BC284" s="21">
        <f t="shared" si="251"/>
        <v>0</v>
      </c>
      <c r="BD284" s="21">
        <f t="shared" si="252"/>
        <v>0</v>
      </c>
      <c r="BE284" s="21">
        <f t="shared" si="253"/>
        <v>0</v>
      </c>
      <c r="BF284" s="21" t="s">
        <v>2492</v>
      </c>
      <c r="BG284" s="41">
        <v>728</v>
      </c>
    </row>
    <row r="285" spans="1:59" x14ac:dyDescent="0.3">
      <c r="A285" s="4" t="s">
        <v>269</v>
      </c>
      <c r="B285" s="13"/>
      <c r="C285" s="13" t="s">
        <v>1136</v>
      </c>
      <c r="D285" s="101" t="s">
        <v>1855</v>
      </c>
      <c r="E285" s="102"/>
      <c r="F285" s="13" t="s">
        <v>2394</v>
      </c>
      <c r="G285" s="21">
        <v>2</v>
      </c>
      <c r="H285" s="21">
        <v>0</v>
      </c>
      <c r="I285" s="21">
        <f t="shared" si="228"/>
        <v>0</v>
      </c>
      <c r="J285" s="21">
        <f t="shared" si="229"/>
        <v>0</v>
      </c>
      <c r="K285" s="21">
        <f t="shared" si="230"/>
        <v>0</v>
      </c>
      <c r="L285" s="21">
        <v>0</v>
      </c>
      <c r="M285" s="21">
        <f t="shared" si="231"/>
        <v>0</v>
      </c>
      <c r="N285" s="35"/>
      <c r="O285" s="39"/>
      <c r="U285" s="41">
        <f t="shared" si="232"/>
        <v>0</v>
      </c>
      <c r="W285" s="41">
        <f t="shared" si="233"/>
        <v>0</v>
      </c>
      <c r="X285" s="41">
        <f t="shared" si="234"/>
        <v>0</v>
      </c>
      <c r="Y285" s="41">
        <f t="shared" si="235"/>
        <v>0</v>
      </c>
      <c r="Z285" s="41">
        <f t="shared" si="236"/>
        <v>0</v>
      </c>
      <c r="AA285" s="41">
        <f t="shared" si="237"/>
        <v>0</v>
      </c>
      <c r="AB285" s="41">
        <f t="shared" si="238"/>
        <v>0</v>
      </c>
      <c r="AC285" s="41">
        <f t="shared" si="239"/>
        <v>0</v>
      </c>
      <c r="AD285" s="31"/>
      <c r="AE285" s="21">
        <f t="shared" si="240"/>
        <v>0</v>
      </c>
      <c r="AF285" s="21">
        <f t="shared" si="241"/>
        <v>0</v>
      </c>
      <c r="AG285" s="21">
        <f t="shared" si="242"/>
        <v>0</v>
      </c>
      <c r="AI285" s="41">
        <v>21</v>
      </c>
      <c r="AJ285" s="41">
        <f t="shared" si="243"/>
        <v>0</v>
      </c>
      <c r="AK285" s="41">
        <f t="shared" si="244"/>
        <v>0</v>
      </c>
      <c r="AL285" s="42" t="s">
        <v>13</v>
      </c>
      <c r="AQ285" s="41">
        <f t="shared" si="245"/>
        <v>0</v>
      </c>
      <c r="AR285" s="41">
        <f t="shared" si="246"/>
        <v>0</v>
      </c>
      <c r="AS285" s="41">
        <f t="shared" si="247"/>
        <v>0</v>
      </c>
      <c r="AT285" s="44" t="s">
        <v>2438</v>
      </c>
      <c r="AU285" s="44" t="s">
        <v>2480</v>
      </c>
      <c r="AV285" s="31" t="s">
        <v>2486</v>
      </c>
      <c r="AX285" s="41">
        <f t="shared" si="248"/>
        <v>0</v>
      </c>
      <c r="AY285" s="41">
        <f t="shared" si="249"/>
        <v>0</v>
      </c>
      <c r="AZ285" s="41">
        <v>0</v>
      </c>
      <c r="BA285" s="41">
        <f t="shared" si="250"/>
        <v>0</v>
      </c>
      <c r="BC285" s="21">
        <f t="shared" si="251"/>
        <v>0</v>
      </c>
      <c r="BD285" s="21">
        <f t="shared" si="252"/>
        <v>0</v>
      </c>
      <c r="BE285" s="21">
        <f t="shared" si="253"/>
        <v>0</v>
      </c>
      <c r="BF285" s="21" t="s">
        <v>2492</v>
      </c>
      <c r="BG285" s="41">
        <v>728</v>
      </c>
    </row>
    <row r="286" spans="1:59" x14ac:dyDescent="0.3">
      <c r="A286" s="4" t="s">
        <v>270</v>
      </c>
      <c r="B286" s="13"/>
      <c r="C286" s="13" t="s">
        <v>1136</v>
      </c>
      <c r="D286" s="101" t="s">
        <v>1838</v>
      </c>
      <c r="E286" s="102"/>
      <c r="F286" s="13" t="s">
        <v>2394</v>
      </c>
      <c r="G286" s="21">
        <v>10</v>
      </c>
      <c r="H286" s="21">
        <v>0</v>
      </c>
      <c r="I286" s="21">
        <f t="shared" si="228"/>
        <v>0</v>
      </c>
      <c r="J286" s="21">
        <f t="shared" si="229"/>
        <v>0</v>
      </c>
      <c r="K286" s="21">
        <f t="shared" si="230"/>
        <v>0</v>
      </c>
      <c r="L286" s="21">
        <v>0</v>
      </c>
      <c r="M286" s="21">
        <f t="shared" si="231"/>
        <v>0</v>
      </c>
      <c r="N286" s="35"/>
      <c r="O286" s="39"/>
      <c r="U286" s="41">
        <f t="shared" si="232"/>
        <v>0</v>
      </c>
      <c r="W286" s="41">
        <f t="shared" si="233"/>
        <v>0</v>
      </c>
      <c r="X286" s="41">
        <f t="shared" si="234"/>
        <v>0</v>
      </c>
      <c r="Y286" s="41">
        <f t="shared" si="235"/>
        <v>0</v>
      </c>
      <c r="Z286" s="41">
        <f t="shared" si="236"/>
        <v>0</v>
      </c>
      <c r="AA286" s="41">
        <f t="shared" si="237"/>
        <v>0</v>
      </c>
      <c r="AB286" s="41">
        <f t="shared" si="238"/>
        <v>0</v>
      </c>
      <c r="AC286" s="41">
        <f t="shared" si="239"/>
        <v>0</v>
      </c>
      <c r="AD286" s="31"/>
      <c r="AE286" s="21">
        <f t="shared" si="240"/>
        <v>0</v>
      </c>
      <c r="AF286" s="21">
        <f t="shared" si="241"/>
        <v>0</v>
      </c>
      <c r="AG286" s="21">
        <f t="shared" si="242"/>
        <v>0</v>
      </c>
      <c r="AI286" s="41">
        <v>21</v>
      </c>
      <c r="AJ286" s="41">
        <f t="shared" si="243"/>
        <v>0</v>
      </c>
      <c r="AK286" s="41">
        <f t="shared" si="244"/>
        <v>0</v>
      </c>
      <c r="AL286" s="42" t="s">
        <v>13</v>
      </c>
      <c r="AQ286" s="41">
        <f t="shared" si="245"/>
        <v>0</v>
      </c>
      <c r="AR286" s="41">
        <f t="shared" si="246"/>
        <v>0</v>
      </c>
      <c r="AS286" s="41">
        <f t="shared" si="247"/>
        <v>0</v>
      </c>
      <c r="AT286" s="44" t="s">
        <v>2438</v>
      </c>
      <c r="AU286" s="44" t="s">
        <v>2480</v>
      </c>
      <c r="AV286" s="31" t="s">
        <v>2486</v>
      </c>
      <c r="AX286" s="41">
        <f t="shared" si="248"/>
        <v>0</v>
      </c>
      <c r="AY286" s="41">
        <f t="shared" si="249"/>
        <v>0</v>
      </c>
      <c r="AZ286" s="41">
        <v>0</v>
      </c>
      <c r="BA286" s="41">
        <f t="shared" si="250"/>
        <v>0</v>
      </c>
      <c r="BC286" s="21">
        <f t="shared" si="251"/>
        <v>0</v>
      </c>
      <c r="BD286" s="21">
        <f t="shared" si="252"/>
        <v>0</v>
      </c>
      <c r="BE286" s="21">
        <f t="shared" si="253"/>
        <v>0</v>
      </c>
      <c r="BF286" s="21" t="s">
        <v>2492</v>
      </c>
      <c r="BG286" s="41">
        <v>728</v>
      </c>
    </row>
    <row r="287" spans="1:59" x14ac:dyDescent="0.3">
      <c r="A287" s="4" t="s">
        <v>271</v>
      </c>
      <c r="B287" s="13"/>
      <c r="C287" s="13" t="s">
        <v>1136</v>
      </c>
      <c r="D287" s="101" t="s">
        <v>1837</v>
      </c>
      <c r="E287" s="102"/>
      <c r="F287" s="13" t="s">
        <v>2394</v>
      </c>
      <c r="G287" s="21">
        <v>3</v>
      </c>
      <c r="H287" s="21">
        <v>0</v>
      </c>
      <c r="I287" s="21">
        <f t="shared" si="228"/>
        <v>0</v>
      </c>
      <c r="J287" s="21">
        <f t="shared" si="229"/>
        <v>0</v>
      </c>
      <c r="K287" s="21">
        <f t="shared" si="230"/>
        <v>0</v>
      </c>
      <c r="L287" s="21">
        <v>0</v>
      </c>
      <c r="M287" s="21">
        <f t="shared" si="231"/>
        <v>0</v>
      </c>
      <c r="N287" s="35"/>
      <c r="O287" s="39"/>
      <c r="U287" s="41">
        <f t="shared" si="232"/>
        <v>0</v>
      </c>
      <c r="W287" s="41">
        <f t="shared" si="233"/>
        <v>0</v>
      </c>
      <c r="X287" s="41">
        <f t="shared" si="234"/>
        <v>0</v>
      </c>
      <c r="Y287" s="41">
        <f t="shared" si="235"/>
        <v>0</v>
      </c>
      <c r="Z287" s="41">
        <f t="shared" si="236"/>
        <v>0</v>
      </c>
      <c r="AA287" s="41">
        <f t="shared" si="237"/>
        <v>0</v>
      </c>
      <c r="AB287" s="41">
        <f t="shared" si="238"/>
        <v>0</v>
      </c>
      <c r="AC287" s="41">
        <f t="shared" si="239"/>
        <v>0</v>
      </c>
      <c r="AD287" s="31"/>
      <c r="AE287" s="21">
        <f t="shared" si="240"/>
        <v>0</v>
      </c>
      <c r="AF287" s="21">
        <f t="shared" si="241"/>
        <v>0</v>
      </c>
      <c r="AG287" s="21">
        <f t="shared" si="242"/>
        <v>0</v>
      </c>
      <c r="AI287" s="41">
        <v>21</v>
      </c>
      <c r="AJ287" s="41">
        <f t="shared" si="243"/>
        <v>0</v>
      </c>
      <c r="AK287" s="41">
        <f t="shared" si="244"/>
        <v>0</v>
      </c>
      <c r="AL287" s="42" t="s">
        <v>13</v>
      </c>
      <c r="AQ287" s="41">
        <f t="shared" si="245"/>
        <v>0</v>
      </c>
      <c r="AR287" s="41">
        <f t="shared" si="246"/>
        <v>0</v>
      </c>
      <c r="AS287" s="41">
        <f t="shared" si="247"/>
        <v>0</v>
      </c>
      <c r="AT287" s="44" t="s">
        <v>2438</v>
      </c>
      <c r="AU287" s="44" t="s">
        <v>2480</v>
      </c>
      <c r="AV287" s="31" t="s">
        <v>2486</v>
      </c>
      <c r="AX287" s="41">
        <f t="shared" si="248"/>
        <v>0</v>
      </c>
      <c r="AY287" s="41">
        <f t="shared" si="249"/>
        <v>0</v>
      </c>
      <c r="AZ287" s="41">
        <v>0</v>
      </c>
      <c r="BA287" s="41">
        <f t="shared" si="250"/>
        <v>0</v>
      </c>
      <c r="BC287" s="21">
        <f t="shared" si="251"/>
        <v>0</v>
      </c>
      <c r="BD287" s="21">
        <f t="shared" si="252"/>
        <v>0</v>
      </c>
      <c r="BE287" s="21">
        <f t="shared" si="253"/>
        <v>0</v>
      </c>
      <c r="BF287" s="21" t="s">
        <v>2492</v>
      </c>
      <c r="BG287" s="41">
        <v>728</v>
      </c>
    </row>
    <row r="288" spans="1:59" x14ac:dyDescent="0.3">
      <c r="A288" s="4" t="s">
        <v>272</v>
      </c>
      <c r="B288" s="13"/>
      <c r="C288" s="13" t="s">
        <v>1136</v>
      </c>
      <c r="D288" s="101" t="s">
        <v>1856</v>
      </c>
      <c r="E288" s="102"/>
      <c r="F288" s="13" t="s">
        <v>2394</v>
      </c>
      <c r="G288" s="21">
        <v>13</v>
      </c>
      <c r="H288" s="21">
        <v>0</v>
      </c>
      <c r="I288" s="21">
        <f t="shared" ref="I288:I319" si="254">G288*AJ288</f>
        <v>0</v>
      </c>
      <c r="J288" s="21">
        <f t="shared" ref="J288:J319" si="255">G288*AK288</f>
        <v>0</v>
      </c>
      <c r="K288" s="21">
        <f t="shared" ref="K288:K319" si="256">G288*H288</f>
        <v>0</v>
      </c>
      <c r="L288" s="21">
        <v>0</v>
      </c>
      <c r="M288" s="21">
        <f t="shared" ref="M288:M319" si="257">G288*L288</f>
        <v>0</v>
      </c>
      <c r="N288" s="35"/>
      <c r="O288" s="39"/>
      <c r="U288" s="41">
        <f t="shared" ref="U288:U319" si="258">IF(AL288="5",BE288,0)</f>
        <v>0</v>
      </c>
      <c r="W288" s="41">
        <f t="shared" ref="W288:W319" si="259">IF(AL288="1",BC288,0)</f>
        <v>0</v>
      </c>
      <c r="X288" s="41">
        <f t="shared" ref="X288:X319" si="260">IF(AL288="1",BD288,0)</f>
        <v>0</v>
      </c>
      <c r="Y288" s="41">
        <f t="shared" ref="Y288:Y319" si="261">IF(AL288="7",BC288,0)</f>
        <v>0</v>
      </c>
      <c r="Z288" s="41">
        <f t="shared" ref="Z288:Z319" si="262">IF(AL288="7",BD288,0)</f>
        <v>0</v>
      </c>
      <c r="AA288" s="41">
        <f t="shared" ref="AA288:AA319" si="263">IF(AL288="2",BC288,0)</f>
        <v>0</v>
      </c>
      <c r="AB288" s="41">
        <f t="shared" ref="AB288:AB319" si="264">IF(AL288="2",BD288,0)</f>
        <v>0</v>
      </c>
      <c r="AC288" s="41">
        <f t="shared" ref="AC288:AC319" si="265">IF(AL288="0",BE288,0)</f>
        <v>0</v>
      </c>
      <c r="AD288" s="31"/>
      <c r="AE288" s="21">
        <f t="shared" ref="AE288:AE319" si="266">IF(AI288=0,K288,0)</f>
        <v>0</v>
      </c>
      <c r="AF288" s="21">
        <f t="shared" ref="AF288:AF319" si="267">IF(AI288=15,K288,0)</f>
        <v>0</v>
      </c>
      <c r="AG288" s="21">
        <f t="shared" ref="AG288:AG319" si="268">IF(AI288=21,K288,0)</f>
        <v>0</v>
      </c>
      <c r="AI288" s="41">
        <v>21</v>
      </c>
      <c r="AJ288" s="41">
        <f t="shared" ref="AJ288:AJ319" si="269">H288*0</f>
        <v>0</v>
      </c>
      <c r="AK288" s="41">
        <f t="shared" ref="AK288:AK319" si="270">H288*(1-0)</f>
        <v>0</v>
      </c>
      <c r="AL288" s="42" t="s">
        <v>13</v>
      </c>
      <c r="AQ288" s="41">
        <f t="shared" ref="AQ288:AQ319" si="271">AR288+AS288</f>
        <v>0</v>
      </c>
      <c r="AR288" s="41">
        <f t="shared" ref="AR288:AR319" si="272">G288*AJ288</f>
        <v>0</v>
      </c>
      <c r="AS288" s="41">
        <f t="shared" ref="AS288:AS319" si="273">G288*AK288</f>
        <v>0</v>
      </c>
      <c r="AT288" s="44" t="s">
        <v>2438</v>
      </c>
      <c r="AU288" s="44" t="s">
        <v>2480</v>
      </c>
      <c r="AV288" s="31" t="s">
        <v>2486</v>
      </c>
      <c r="AX288" s="41">
        <f t="shared" ref="AX288:AX319" si="274">AR288+AS288</f>
        <v>0</v>
      </c>
      <c r="AY288" s="41">
        <f t="shared" ref="AY288:AY319" si="275">H288/(100-AZ288)*100</f>
        <v>0</v>
      </c>
      <c r="AZ288" s="41">
        <v>0</v>
      </c>
      <c r="BA288" s="41">
        <f t="shared" ref="BA288:BA319" si="276">M288</f>
        <v>0</v>
      </c>
      <c r="BC288" s="21">
        <f t="shared" ref="BC288:BC319" si="277">G288*AJ288</f>
        <v>0</v>
      </c>
      <c r="BD288" s="21">
        <f t="shared" ref="BD288:BD319" si="278">G288*AK288</f>
        <v>0</v>
      </c>
      <c r="BE288" s="21">
        <f t="shared" ref="BE288:BE319" si="279">G288*H288</f>
        <v>0</v>
      </c>
      <c r="BF288" s="21" t="s">
        <v>2492</v>
      </c>
      <c r="BG288" s="41">
        <v>728</v>
      </c>
    </row>
    <row r="289" spans="1:59" x14ac:dyDescent="0.3">
      <c r="A289" s="4" t="s">
        <v>273</v>
      </c>
      <c r="B289" s="13"/>
      <c r="C289" s="13" t="s">
        <v>1136</v>
      </c>
      <c r="D289" s="101" t="s">
        <v>1839</v>
      </c>
      <c r="E289" s="102"/>
      <c r="F289" s="13" t="s">
        <v>2387</v>
      </c>
      <c r="G289" s="21">
        <v>28</v>
      </c>
      <c r="H289" s="21">
        <v>0</v>
      </c>
      <c r="I289" s="21">
        <f t="shared" si="254"/>
        <v>0</v>
      </c>
      <c r="J289" s="21">
        <f t="shared" si="255"/>
        <v>0</v>
      </c>
      <c r="K289" s="21">
        <f t="shared" si="256"/>
        <v>0</v>
      </c>
      <c r="L289" s="21">
        <v>0</v>
      </c>
      <c r="M289" s="21">
        <f t="shared" si="257"/>
        <v>0</v>
      </c>
      <c r="N289" s="35"/>
      <c r="O289" s="39"/>
      <c r="U289" s="41">
        <f t="shared" si="258"/>
        <v>0</v>
      </c>
      <c r="W289" s="41">
        <f t="shared" si="259"/>
        <v>0</v>
      </c>
      <c r="X289" s="41">
        <f t="shared" si="260"/>
        <v>0</v>
      </c>
      <c r="Y289" s="41">
        <f t="shared" si="261"/>
        <v>0</v>
      </c>
      <c r="Z289" s="41">
        <f t="shared" si="262"/>
        <v>0</v>
      </c>
      <c r="AA289" s="41">
        <f t="shared" si="263"/>
        <v>0</v>
      </c>
      <c r="AB289" s="41">
        <f t="shared" si="264"/>
        <v>0</v>
      </c>
      <c r="AC289" s="41">
        <f t="shared" si="265"/>
        <v>0</v>
      </c>
      <c r="AD289" s="31"/>
      <c r="AE289" s="21">
        <f t="shared" si="266"/>
        <v>0</v>
      </c>
      <c r="AF289" s="21">
        <f t="shared" si="267"/>
        <v>0</v>
      </c>
      <c r="AG289" s="21">
        <f t="shared" si="268"/>
        <v>0</v>
      </c>
      <c r="AI289" s="41">
        <v>21</v>
      </c>
      <c r="AJ289" s="41">
        <f t="shared" si="269"/>
        <v>0</v>
      </c>
      <c r="AK289" s="41">
        <f t="shared" si="270"/>
        <v>0</v>
      </c>
      <c r="AL289" s="42" t="s">
        <v>13</v>
      </c>
      <c r="AQ289" s="41">
        <f t="shared" si="271"/>
        <v>0</v>
      </c>
      <c r="AR289" s="41">
        <f t="shared" si="272"/>
        <v>0</v>
      </c>
      <c r="AS289" s="41">
        <f t="shared" si="273"/>
        <v>0</v>
      </c>
      <c r="AT289" s="44" t="s">
        <v>2438</v>
      </c>
      <c r="AU289" s="44" t="s">
        <v>2480</v>
      </c>
      <c r="AV289" s="31" t="s">
        <v>2486</v>
      </c>
      <c r="AX289" s="41">
        <f t="shared" si="274"/>
        <v>0</v>
      </c>
      <c r="AY289" s="41">
        <f t="shared" si="275"/>
        <v>0</v>
      </c>
      <c r="AZ289" s="41">
        <v>0</v>
      </c>
      <c r="BA289" s="41">
        <f t="shared" si="276"/>
        <v>0</v>
      </c>
      <c r="BC289" s="21">
        <f t="shared" si="277"/>
        <v>0</v>
      </c>
      <c r="BD289" s="21">
        <f t="shared" si="278"/>
        <v>0</v>
      </c>
      <c r="BE289" s="21">
        <f t="shared" si="279"/>
        <v>0</v>
      </c>
      <c r="BF289" s="21" t="s">
        <v>2492</v>
      </c>
      <c r="BG289" s="41">
        <v>728</v>
      </c>
    </row>
    <row r="290" spans="1:59" x14ac:dyDescent="0.3">
      <c r="A290" s="4" t="s">
        <v>274</v>
      </c>
      <c r="B290" s="13"/>
      <c r="C290" s="13" t="s">
        <v>1136</v>
      </c>
      <c r="D290" s="101" t="s">
        <v>1857</v>
      </c>
      <c r="E290" s="102"/>
      <c r="F290" s="13" t="s">
        <v>2384</v>
      </c>
      <c r="G290" s="21">
        <v>7</v>
      </c>
      <c r="H290" s="21">
        <v>0</v>
      </c>
      <c r="I290" s="21">
        <f t="shared" si="254"/>
        <v>0</v>
      </c>
      <c r="J290" s="21">
        <f t="shared" si="255"/>
        <v>0</v>
      </c>
      <c r="K290" s="21">
        <f t="shared" si="256"/>
        <v>0</v>
      </c>
      <c r="L290" s="21">
        <v>0</v>
      </c>
      <c r="M290" s="21">
        <f t="shared" si="257"/>
        <v>0</v>
      </c>
      <c r="N290" s="35"/>
      <c r="O290" s="39"/>
      <c r="U290" s="41">
        <f t="shared" si="258"/>
        <v>0</v>
      </c>
      <c r="W290" s="41">
        <f t="shared" si="259"/>
        <v>0</v>
      </c>
      <c r="X290" s="41">
        <f t="shared" si="260"/>
        <v>0</v>
      </c>
      <c r="Y290" s="41">
        <f t="shared" si="261"/>
        <v>0</v>
      </c>
      <c r="Z290" s="41">
        <f t="shared" si="262"/>
        <v>0</v>
      </c>
      <c r="AA290" s="41">
        <f t="shared" si="263"/>
        <v>0</v>
      </c>
      <c r="AB290" s="41">
        <f t="shared" si="264"/>
        <v>0</v>
      </c>
      <c r="AC290" s="41">
        <f t="shared" si="265"/>
        <v>0</v>
      </c>
      <c r="AD290" s="31"/>
      <c r="AE290" s="21">
        <f t="shared" si="266"/>
        <v>0</v>
      </c>
      <c r="AF290" s="21">
        <f t="shared" si="267"/>
        <v>0</v>
      </c>
      <c r="AG290" s="21">
        <f t="shared" si="268"/>
        <v>0</v>
      </c>
      <c r="AI290" s="41">
        <v>21</v>
      </c>
      <c r="AJ290" s="41">
        <f t="shared" si="269"/>
        <v>0</v>
      </c>
      <c r="AK290" s="41">
        <f t="shared" si="270"/>
        <v>0</v>
      </c>
      <c r="AL290" s="42" t="s">
        <v>13</v>
      </c>
      <c r="AQ290" s="41">
        <f t="shared" si="271"/>
        <v>0</v>
      </c>
      <c r="AR290" s="41">
        <f t="shared" si="272"/>
        <v>0</v>
      </c>
      <c r="AS290" s="41">
        <f t="shared" si="273"/>
        <v>0</v>
      </c>
      <c r="AT290" s="44" t="s">
        <v>2438</v>
      </c>
      <c r="AU290" s="44" t="s">
        <v>2480</v>
      </c>
      <c r="AV290" s="31" t="s">
        <v>2486</v>
      </c>
      <c r="AX290" s="41">
        <f t="shared" si="274"/>
        <v>0</v>
      </c>
      <c r="AY290" s="41">
        <f t="shared" si="275"/>
        <v>0</v>
      </c>
      <c r="AZ290" s="41">
        <v>0</v>
      </c>
      <c r="BA290" s="41">
        <f t="shared" si="276"/>
        <v>0</v>
      </c>
      <c r="BC290" s="21">
        <f t="shared" si="277"/>
        <v>0</v>
      </c>
      <c r="BD290" s="21">
        <f t="shared" si="278"/>
        <v>0</v>
      </c>
      <c r="BE290" s="21">
        <f t="shared" si="279"/>
        <v>0</v>
      </c>
      <c r="BF290" s="21" t="s">
        <v>2492</v>
      </c>
      <c r="BG290" s="41">
        <v>728</v>
      </c>
    </row>
    <row r="291" spans="1:59" x14ac:dyDescent="0.3">
      <c r="A291" s="4" t="s">
        <v>275</v>
      </c>
      <c r="B291" s="13"/>
      <c r="C291" s="13" t="s">
        <v>1136</v>
      </c>
      <c r="D291" s="101" t="s">
        <v>1808</v>
      </c>
      <c r="E291" s="102"/>
      <c r="F291" s="13" t="s">
        <v>2384</v>
      </c>
      <c r="G291" s="21">
        <v>3</v>
      </c>
      <c r="H291" s="21">
        <v>0</v>
      </c>
      <c r="I291" s="21">
        <f t="shared" si="254"/>
        <v>0</v>
      </c>
      <c r="J291" s="21">
        <f t="shared" si="255"/>
        <v>0</v>
      </c>
      <c r="K291" s="21">
        <f t="shared" si="256"/>
        <v>0</v>
      </c>
      <c r="L291" s="21">
        <v>0</v>
      </c>
      <c r="M291" s="21">
        <f t="shared" si="257"/>
        <v>0</v>
      </c>
      <c r="N291" s="35"/>
      <c r="O291" s="39"/>
      <c r="U291" s="41">
        <f t="shared" si="258"/>
        <v>0</v>
      </c>
      <c r="W291" s="41">
        <f t="shared" si="259"/>
        <v>0</v>
      </c>
      <c r="X291" s="41">
        <f t="shared" si="260"/>
        <v>0</v>
      </c>
      <c r="Y291" s="41">
        <f t="shared" si="261"/>
        <v>0</v>
      </c>
      <c r="Z291" s="41">
        <f t="shared" si="262"/>
        <v>0</v>
      </c>
      <c r="AA291" s="41">
        <f t="shared" si="263"/>
        <v>0</v>
      </c>
      <c r="AB291" s="41">
        <f t="shared" si="264"/>
        <v>0</v>
      </c>
      <c r="AC291" s="41">
        <f t="shared" si="265"/>
        <v>0</v>
      </c>
      <c r="AD291" s="31"/>
      <c r="AE291" s="21">
        <f t="shared" si="266"/>
        <v>0</v>
      </c>
      <c r="AF291" s="21">
        <f t="shared" si="267"/>
        <v>0</v>
      </c>
      <c r="AG291" s="21">
        <f t="shared" si="268"/>
        <v>0</v>
      </c>
      <c r="AI291" s="41">
        <v>21</v>
      </c>
      <c r="AJ291" s="41">
        <f t="shared" si="269"/>
        <v>0</v>
      </c>
      <c r="AK291" s="41">
        <f t="shared" si="270"/>
        <v>0</v>
      </c>
      <c r="AL291" s="42" t="s">
        <v>13</v>
      </c>
      <c r="AQ291" s="41">
        <f t="shared" si="271"/>
        <v>0</v>
      </c>
      <c r="AR291" s="41">
        <f t="shared" si="272"/>
        <v>0</v>
      </c>
      <c r="AS291" s="41">
        <f t="shared" si="273"/>
        <v>0</v>
      </c>
      <c r="AT291" s="44" t="s">
        <v>2438</v>
      </c>
      <c r="AU291" s="44" t="s">
        <v>2480</v>
      </c>
      <c r="AV291" s="31" t="s">
        <v>2486</v>
      </c>
      <c r="AX291" s="41">
        <f t="shared" si="274"/>
        <v>0</v>
      </c>
      <c r="AY291" s="41">
        <f t="shared" si="275"/>
        <v>0</v>
      </c>
      <c r="AZ291" s="41">
        <v>0</v>
      </c>
      <c r="BA291" s="41">
        <f t="shared" si="276"/>
        <v>0</v>
      </c>
      <c r="BC291" s="21">
        <f t="shared" si="277"/>
        <v>0</v>
      </c>
      <c r="BD291" s="21">
        <f t="shared" si="278"/>
        <v>0</v>
      </c>
      <c r="BE291" s="21">
        <f t="shared" si="279"/>
        <v>0</v>
      </c>
      <c r="BF291" s="21" t="s">
        <v>2492</v>
      </c>
      <c r="BG291" s="41">
        <v>728</v>
      </c>
    </row>
    <row r="292" spans="1:59" x14ac:dyDescent="0.3">
      <c r="A292" s="4" t="s">
        <v>276</v>
      </c>
      <c r="B292" s="13"/>
      <c r="C292" s="13" t="s">
        <v>1136</v>
      </c>
      <c r="D292" s="101" t="s">
        <v>1858</v>
      </c>
      <c r="E292" s="102"/>
      <c r="F292" s="13" t="s">
        <v>2384</v>
      </c>
      <c r="G292" s="21">
        <v>1</v>
      </c>
      <c r="H292" s="21">
        <v>0</v>
      </c>
      <c r="I292" s="21">
        <f t="shared" si="254"/>
        <v>0</v>
      </c>
      <c r="J292" s="21">
        <f t="shared" si="255"/>
        <v>0</v>
      </c>
      <c r="K292" s="21">
        <f t="shared" si="256"/>
        <v>0</v>
      </c>
      <c r="L292" s="21">
        <v>0</v>
      </c>
      <c r="M292" s="21">
        <f t="shared" si="257"/>
        <v>0</v>
      </c>
      <c r="N292" s="35"/>
      <c r="O292" s="39"/>
      <c r="U292" s="41">
        <f t="shared" si="258"/>
        <v>0</v>
      </c>
      <c r="W292" s="41">
        <f t="shared" si="259"/>
        <v>0</v>
      </c>
      <c r="X292" s="41">
        <f t="shared" si="260"/>
        <v>0</v>
      </c>
      <c r="Y292" s="41">
        <f t="shared" si="261"/>
        <v>0</v>
      </c>
      <c r="Z292" s="41">
        <f t="shared" si="262"/>
        <v>0</v>
      </c>
      <c r="AA292" s="41">
        <f t="shared" si="263"/>
        <v>0</v>
      </c>
      <c r="AB292" s="41">
        <f t="shared" si="264"/>
        <v>0</v>
      </c>
      <c r="AC292" s="41">
        <f t="shared" si="265"/>
        <v>0</v>
      </c>
      <c r="AD292" s="31"/>
      <c r="AE292" s="21">
        <f t="shared" si="266"/>
        <v>0</v>
      </c>
      <c r="AF292" s="21">
        <f t="shared" si="267"/>
        <v>0</v>
      </c>
      <c r="AG292" s="21">
        <f t="shared" si="268"/>
        <v>0</v>
      </c>
      <c r="AI292" s="41">
        <v>21</v>
      </c>
      <c r="AJ292" s="41">
        <f t="shared" si="269"/>
        <v>0</v>
      </c>
      <c r="AK292" s="41">
        <f t="shared" si="270"/>
        <v>0</v>
      </c>
      <c r="AL292" s="42" t="s">
        <v>13</v>
      </c>
      <c r="AQ292" s="41">
        <f t="shared" si="271"/>
        <v>0</v>
      </c>
      <c r="AR292" s="41">
        <f t="shared" si="272"/>
        <v>0</v>
      </c>
      <c r="AS292" s="41">
        <f t="shared" si="273"/>
        <v>0</v>
      </c>
      <c r="AT292" s="44" t="s">
        <v>2438</v>
      </c>
      <c r="AU292" s="44" t="s">
        <v>2480</v>
      </c>
      <c r="AV292" s="31" t="s">
        <v>2486</v>
      </c>
      <c r="AX292" s="41">
        <f t="shared" si="274"/>
        <v>0</v>
      </c>
      <c r="AY292" s="41">
        <f t="shared" si="275"/>
        <v>0</v>
      </c>
      <c r="AZ292" s="41">
        <v>0</v>
      </c>
      <c r="BA292" s="41">
        <f t="shared" si="276"/>
        <v>0</v>
      </c>
      <c r="BC292" s="21">
        <f t="shared" si="277"/>
        <v>0</v>
      </c>
      <c r="BD292" s="21">
        <f t="shared" si="278"/>
        <v>0</v>
      </c>
      <c r="BE292" s="21">
        <f t="shared" si="279"/>
        <v>0</v>
      </c>
      <c r="BF292" s="21" t="s">
        <v>2492</v>
      </c>
      <c r="BG292" s="41">
        <v>728</v>
      </c>
    </row>
    <row r="293" spans="1:59" x14ac:dyDescent="0.3">
      <c r="A293" s="4" t="s">
        <v>277</v>
      </c>
      <c r="B293" s="13"/>
      <c r="C293" s="13" t="s">
        <v>1136</v>
      </c>
      <c r="D293" s="101" t="s">
        <v>1810</v>
      </c>
      <c r="E293" s="102"/>
      <c r="F293" s="13" t="s">
        <v>2384</v>
      </c>
      <c r="G293" s="21">
        <v>1</v>
      </c>
      <c r="H293" s="21">
        <v>0</v>
      </c>
      <c r="I293" s="21">
        <f t="shared" si="254"/>
        <v>0</v>
      </c>
      <c r="J293" s="21">
        <f t="shared" si="255"/>
        <v>0</v>
      </c>
      <c r="K293" s="21">
        <f t="shared" si="256"/>
        <v>0</v>
      </c>
      <c r="L293" s="21">
        <v>0</v>
      </c>
      <c r="M293" s="21">
        <f t="shared" si="257"/>
        <v>0</v>
      </c>
      <c r="N293" s="35"/>
      <c r="O293" s="39"/>
      <c r="U293" s="41">
        <f t="shared" si="258"/>
        <v>0</v>
      </c>
      <c r="W293" s="41">
        <f t="shared" si="259"/>
        <v>0</v>
      </c>
      <c r="X293" s="41">
        <f t="shared" si="260"/>
        <v>0</v>
      </c>
      <c r="Y293" s="41">
        <f t="shared" si="261"/>
        <v>0</v>
      </c>
      <c r="Z293" s="41">
        <f t="shared" si="262"/>
        <v>0</v>
      </c>
      <c r="AA293" s="41">
        <f t="shared" si="263"/>
        <v>0</v>
      </c>
      <c r="AB293" s="41">
        <f t="shared" si="264"/>
        <v>0</v>
      </c>
      <c r="AC293" s="41">
        <f t="shared" si="265"/>
        <v>0</v>
      </c>
      <c r="AD293" s="31"/>
      <c r="AE293" s="21">
        <f t="shared" si="266"/>
        <v>0</v>
      </c>
      <c r="AF293" s="21">
        <f t="shared" si="267"/>
        <v>0</v>
      </c>
      <c r="AG293" s="21">
        <f t="shared" si="268"/>
        <v>0</v>
      </c>
      <c r="AI293" s="41">
        <v>21</v>
      </c>
      <c r="AJ293" s="41">
        <f t="shared" si="269"/>
        <v>0</v>
      </c>
      <c r="AK293" s="41">
        <f t="shared" si="270"/>
        <v>0</v>
      </c>
      <c r="AL293" s="42" t="s">
        <v>13</v>
      </c>
      <c r="AQ293" s="41">
        <f t="shared" si="271"/>
        <v>0</v>
      </c>
      <c r="AR293" s="41">
        <f t="shared" si="272"/>
        <v>0</v>
      </c>
      <c r="AS293" s="41">
        <f t="shared" si="273"/>
        <v>0</v>
      </c>
      <c r="AT293" s="44" t="s">
        <v>2438</v>
      </c>
      <c r="AU293" s="44" t="s">
        <v>2480</v>
      </c>
      <c r="AV293" s="31" t="s">
        <v>2486</v>
      </c>
      <c r="AX293" s="41">
        <f t="shared" si="274"/>
        <v>0</v>
      </c>
      <c r="AY293" s="41">
        <f t="shared" si="275"/>
        <v>0</v>
      </c>
      <c r="AZ293" s="41">
        <v>0</v>
      </c>
      <c r="BA293" s="41">
        <f t="shared" si="276"/>
        <v>0</v>
      </c>
      <c r="BC293" s="21">
        <f t="shared" si="277"/>
        <v>0</v>
      </c>
      <c r="BD293" s="21">
        <f t="shared" si="278"/>
        <v>0</v>
      </c>
      <c r="BE293" s="21">
        <f t="shared" si="279"/>
        <v>0</v>
      </c>
      <c r="BF293" s="21" t="s">
        <v>2492</v>
      </c>
      <c r="BG293" s="41">
        <v>728</v>
      </c>
    </row>
    <row r="294" spans="1:59" x14ac:dyDescent="0.3">
      <c r="A294" s="4" t="s">
        <v>278</v>
      </c>
      <c r="B294" s="13"/>
      <c r="C294" s="13" t="s">
        <v>1136</v>
      </c>
      <c r="D294" s="101" t="s">
        <v>1840</v>
      </c>
      <c r="E294" s="102"/>
      <c r="F294" s="13" t="s">
        <v>2384</v>
      </c>
      <c r="G294" s="21">
        <v>1</v>
      </c>
      <c r="H294" s="21">
        <v>0</v>
      </c>
      <c r="I294" s="21">
        <f t="shared" si="254"/>
        <v>0</v>
      </c>
      <c r="J294" s="21">
        <f t="shared" si="255"/>
        <v>0</v>
      </c>
      <c r="K294" s="21">
        <f t="shared" si="256"/>
        <v>0</v>
      </c>
      <c r="L294" s="21">
        <v>0</v>
      </c>
      <c r="M294" s="21">
        <f t="shared" si="257"/>
        <v>0</v>
      </c>
      <c r="N294" s="35"/>
      <c r="O294" s="39"/>
      <c r="U294" s="41">
        <f t="shared" si="258"/>
        <v>0</v>
      </c>
      <c r="W294" s="41">
        <f t="shared" si="259"/>
        <v>0</v>
      </c>
      <c r="X294" s="41">
        <f t="shared" si="260"/>
        <v>0</v>
      </c>
      <c r="Y294" s="41">
        <f t="shared" si="261"/>
        <v>0</v>
      </c>
      <c r="Z294" s="41">
        <f t="shared" si="262"/>
        <v>0</v>
      </c>
      <c r="AA294" s="41">
        <f t="shared" si="263"/>
        <v>0</v>
      </c>
      <c r="AB294" s="41">
        <f t="shared" si="264"/>
        <v>0</v>
      </c>
      <c r="AC294" s="41">
        <f t="shared" si="265"/>
        <v>0</v>
      </c>
      <c r="AD294" s="31"/>
      <c r="AE294" s="21">
        <f t="shared" si="266"/>
        <v>0</v>
      </c>
      <c r="AF294" s="21">
        <f t="shared" si="267"/>
        <v>0</v>
      </c>
      <c r="AG294" s="21">
        <f t="shared" si="268"/>
        <v>0</v>
      </c>
      <c r="AI294" s="41">
        <v>21</v>
      </c>
      <c r="AJ294" s="41">
        <f t="shared" si="269"/>
        <v>0</v>
      </c>
      <c r="AK294" s="41">
        <f t="shared" si="270"/>
        <v>0</v>
      </c>
      <c r="AL294" s="42" t="s">
        <v>13</v>
      </c>
      <c r="AQ294" s="41">
        <f t="shared" si="271"/>
        <v>0</v>
      </c>
      <c r="AR294" s="41">
        <f t="shared" si="272"/>
        <v>0</v>
      </c>
      <c r="AS294" s="41">
        <f t="shared" si="273"/>
        <v>0</v>
      </c>
      <c r="AT294" s="44" t="s">
        <v>2438</v>
      </c>
      <c r="AU294" s="44" t="s">
        <v>2480</v>
      </c>
      <c r="AV294" s="31" t="s">
        <v>2486</v>
      </c>
      <c r="AX294" s="41">
        <f t="shared" si="274"/>
        <v>0</v>
      </c>
      <c r="AY294" s="41">
        <f t="shared" si="275"/>
        <v>0</v>
      </c>
      <c r="AZ294" s="41">
        <v>0</v>
      </c>
      <c r="BA294" s="41">
        <f t="shared" si="276"/>
        <v>0</v>
      </c>
      <c r="BC294" s="21">
        <f t="shared" si="277"/>
        <v>0</v>
      </c>
      <c r="BD294" s="21">
        <f t="shared" si="278"/>
        <v>0</v>
      </c>
      <c r="BE294" s="21">
        <f t="shared" si="279"/>
        <v>0</v>
      </c>
      <c r="BF294" s="21" t="s">
        <v>2492</v>
      </c>
      <c r="BG294" s="41">
        <v>728</v>
      </c>
    </row>
    <row r="295" spans="1:59" x14ac:dyDescent="0.3">
      <c r="A295" s="4" t="s">
        <v>279</v>
      </c>
      <c r="B295" s="13"/>
      <c r="C295" s="13" t="s">
        <v>1136</v>
      </c>
      <c r="D295" s="101" t="s">
        <v>1810</v>
      </c>
      <c r="E295" s="102"/>
      <c r="F295" s="13" t="s">
        <v>2384</v>
      </c>
      <c r="G295" s="21">
        <v>1</v>
      </c>
      <c r="H295" s="21">
        <v>0</v>
      </c>
      <c r="I295" s="21">
        <f t="shared" si="254"/>
        <v>0</v>
      </c>
      <c r="J295" s="21">
        <f t="shared" si="255"/>
        <v>0</v>
      </c>
      <c r="K295" s="21">
        <f t="shared" si="256"/>
        <v>0</v>
      </c>
      <c r="L295" s="21">
        <v>0</v>
      </c>
      <c r="M295" s="21">
        <f t="shared" si="257"/>
        <v>0</v>
      </c>
      <c r="N295" s="35"/>
      <c r="O295" s="39"/>
      <c r="U295" s="41">
        <f t="shared" si="258"/>
        <v>0</v>
      </c>
      <c r="W295" s="41">
        <f t="shared" si="259"/>
        <v>0</v>
      </c>
      <c r="X295" s="41">
        <f t="shared" si="260"/>
        <v>0</v>
      </c>
      <c r="Y295" s="41">
        <f t="shared" si="261"/>
        <v>0</v>
      </c>
      <c r="Z295" s="41">
        <f t="shared" si="262"/>
        <v>0</v>
      </c>
      <c r="AA295" s="41">
        <f t="shared" si="263"/>
        <v>0</v>
      </c>
      <c r="AB295" s="41">
        <f t="shared" si="264"/>
        <v>0</v>
      </c>
      <c r="AC295" s="41">
        <f t="shared" si="265"/>
        <v>0</v>
      </c>
      <c r="AD295" s="31"/>
      <c r="AE295" s="21">
        <f t="shared" si="266"/>
        <v>0</v>
      </c>
      <c r="AF295" s="21">
        <f t="shared" si="267"/>
        <v>0</v>
      </c>
      <c r="AG295" s="21">
        <f t="shared" si="268"/>
        <v>0</v>
      </c>
      <c r="AI295" s="41">
        <v>21</v>
      </c>
      <c r="AJ295" s="41">
        <f t="shared" si="269"/>
        <v>0</v>
      </c>
      <c r="AK295" s="41">
        <f t="shared" si="270"/>
        <v>0</v>
      </c>
      <c r="AL295" s="42" t="s">
        <v>13</v>
      </c>
      <c r="AQ295" s="41">
        <f t="shared" si="271"/>
        <v>0</v>
      </c>
      <c r="AR295" s="41">
        <f t="shared" si="272"/>
        <v>0</v>
      </c>
      <c r="AS295" s="41">
        <f t="shared" si="273"/>
        <v>0</v>
      </c>
      <c r="AT295" s="44" t="s">
        <v>2438</v>
      </c>
      <c r="AU295" s="44" t="s">
        <v>2480</v>
      </c>
      <c r="AV295" s="31" t="s">
        <v>2486</v>
      </c>
      <c r="AX295" s="41">
        <f t="shared" si="274"/>
        <v>0</v>
      </c>
      <c r="AY295" s="41">
        <f t="shared" si="275"/>
        <v>0</v>
      </c>
      <c r="AZ295" s="41">
        <v>0</v>
      </c>
      <c r="BA295" s="41">
        <f t="shared" si="276"/>
        <v>0</v>
      </c>
      <c r="BC295" s="21">
        <f t="shared" si="277"/>
        <v>0</v>
      </c>
      <c r="BD295" s="21">
        <f t="shared" si="278"/>
        <v>0</v>
      </c>
      <c r="BE295" s="21">
        <f t="shared" si="279"/>
        <v>0</v>
      </c>
      <c r="BF295" s="21" t="s">
        <v>2492</v>
      </c>
      <c r="BG295" s="41">
        <v>728</v>
      </c>
    </row>
    <row r="296" spans="1:59" x14ac:dyDescent="0.3">
      <c r="A296" s="4" t="s">
        <v>280</v>
      </c>
      <c r="B296" s="13"/>
      <c r="C296" s="13" t="s">
        <v>1136</v>
      </c>
      <c r="D296" s="101" t="s">
        <v>1841</v>
      </c>
      <c r="E296" s="102"/>
      <c r="F296" s="13" t="s">
        <v>2384</v>
      </c>
      <c r="G296" s="21">
        <v>10</v>
      </c>
      <c r="H296" s="21">
        <v>0</v>
      </c>
      <c r="I296" s="21">
        <f t="shared" si="254"/>
        <v>0</v>
      </c>
      <c r="J296" s="21">
        <f t="shared" si="255"/>
        <v>0</v>
      </c>
      <c r="K296" s="21">
        <f t="shared" si="256"/>
        <v>0</v>
      </c>
      <c r="L296" s="21">
        <v>0</v>
      </c>
      <c r="M296" s="21">
        <f t="shared" si="257"/>
        <v>0</v>
      </c>
      <c r="N296" s="35"/>
      <c r="O296" s="39"/>
      <c r="U296" s="41">
        <f t="shared" si="258"/>
        <v>0</v>
      </c>
      <c r="W296" s="41">
        <f t="shared" si="259"/>
        <v>0</v>
      </c>
      <c r="X296" s="41">
        <f t="shared" si="260"/>
        <v>0</v>
      </c>
      <c r="Y296" s="41">
        <f t="shared" si="261"/>
        <v>0</v>
      </c>
      <c r="Z296" s="41">
        <f t="shared" si="262"/>
        <v>0</v>
      </c>
      <c r="AA296" s="41">
        <f t="shared" si="263"/>
        <v>0</v>
      </c>
      <c r="AB296" s="41">
        <f t="shared" si="264"/>
        <v>0</v>
      </c>
      <c r="AC296" s="41">
        <f t="shared" si="265"/>
        <v>0</v>
      </c>
      <c r="AD296" s="31"/>
      <c r="AE296" s="21">
        <f t="shared" si="266"/>
        <v>0</v>
      </c>
      <c r="AF296" s="21">
        <f t="shared" si="267"/>
        <v>0</v>
      </c>
      <c r="AG296" s="21">
        <f t="shared" si="268"/>
        <v>0</v>
      </c>
      <c r="AI296" s="41">
        <v>21</v>
      </c>
      <c r="AJ296" s="41">
        <f t="shared" si="269"/>
        <v>0</v>
      </c>
      <c r="AK296" s="41">
        <f t="shared" si="270"/>
        <v>0</v>
      </c>
      <c r="AL296" s="42" t="s">
        <v>13</v>
      </c>
      <c r="AQ296" s="41">
        <f t="shared" si="271"/>
        <v>0</v>
      </c>
      <c r="AR296" s="41">
        <f t="shared" si="272"/>
        <v>0</v>
      </c>
      <c r="AS296" s="41">
        <f t="shared" si="273"/>
        <v>0</v>
      </c>
      <c r="AT296" s="44" t="s">
        <v>2438</v>
      </c>
      <c r="AU296" s="44" t="s">
        <v>2480</v>
      </c>
      <c r="AV296" s="31" t="s">
        <v>2486</v>
      </c>
      <c r="AX296" s="41">
        <f t="shared" si="274"/>
        <v>0</v>
      </c>
      <c r="AY296" s="41">
        <f t="shared" si="275"/>
        <v>0</v>
      </c>
      <c r="AZ296" s="41">
        <v>0</v>
      </c>
      <c r="BA296" s="41">
        <f t="shared" si="276"/>
        <v>0</v>
      </c>
      <c r="BC296" s="21">
        <f t="shared" si="277"/>
        <v>0</v>
      </c>
      <c r="BD296" s="21">
        <f t="shared" si="278"/>
        <v>0</v>
      </c>
      <c r="BE296" s="21">
        <f t="shared" si="279"/>
        <v>0</v>
      </c>
      <c r="BF296" s="21" t="s">
        <v>2492</v>
      </c>
      <c r="BG296" s="41">
        <v>728</v>
      </c>
    </row>
    <row r="297" spans="1:59" x14ac:dyDescent="0.3">
      <c r="A297" s="4" t="s">
        <v>281</v>
      </c>
      <c r="B297" s="13"/>
      <c r="C297" s="13" t="s">
        <v>1136</v>
      </c>
      <c r="D297" s="101" t="s">
        <v>1841</v>
      </c>
      <c r="E297" s="102"/>
      <c r="F297" s="13" t="s">
        <v>2384</v>
      </c>
      <c r="G297" s="21">
        <v>1</v>
      </c>
      <c r="H297" s="21">
        <v>0</v>
      </c>
      <c r="I297" s="21">
        <f t="shared" si="254"/>
        <v>0</v>
      </c>
      <c r="J297" s="21">
        <f t="shared" si="255"/>
        <v>0</v>
      </c>
      <c r="K297" s="21">
        <f t="shared" si="256"/>
        <v>0</v>
      </c>
      <c r="L297" s="21">
        <v>0</v>
      </c>
      <c r="M297" s="21">
        <f t="shared" si="257"/>
        <v>0</v>
      </c>
      <c r="N297" s="35"/>
      <c r="O297" s="39"/>
      <c r="U297" s="41">
        <f t="shared" si="258"/>
        <v>0</v>
      </c>
      <c r="W297" s="41">
        <f t="shared" si="259"/>
        <v>0</v>
      </c>
      <c r="X297" s="41">
        <f t="shared" si="260"/>
        <v>0</v>
      </c>
      <c r="Y297" s="41">
        <f t="shared" si="261"/>
        <v>0</v>
      </c>
      <c r="Z297" s="41">
        <f t="shared" si="262"/>
        <v>0</v>
      </c>
      <c r="AA297" s="41">
        <f t="shared" si="263"/>
        <v>0</v>
      </c>
      <c r="AB297" s="41">
        <f t="shared" si="264"/>
        <v>0</v>
      </c>
      <c r="AC297" s="41">
        <f t="shared" si="265"/>
        <v>0</v>
      </c>
      <c r="AD297" s="31"/>
      <c r="AE297" s="21">
        <f t="shared" si="266"/>
        <v>0</v>
      </c>
      <c r="AF297" s="21">
        <f t="shared" si="267"/>
        <v>0</v>
      </c>
      <c r="AG297" s="21">
        <f t="shared" si="268"/>
        <v>0</v>
      </c>
      <c r="AI297" s="41">
        <v>21</v>
      </c>
      <c r="AJ297" s="41">
        <f t="shared" si="269"/>
        <v>0</v>
      </c>
      <c r="AK297" s="41">
        <f t="shared" si="270"/>
        <v>0</v>
      </c>
      <c r="AL297" s="42" t="s">
        <v>13</v>
      </c>
      <c r="AQ297" s="41">
        <f t="shared" si="271"/>
        <v>0</v>
      </c>
      <c r="AR297" s="41">
        <f t="shared" si="272"/>
        <v>0</v>
      </c>
      <c r="AS297" s="41">
        <f t="shared" si="273"/>
        <v>0</v>
      </c>
      <c r="AT297" s="44" t="s">
        <v>2438</v>
      </c>
      <c r="AU297" s="44" t="s">
        <v>2480</v>
      </c>
      <c r="AV297" s="31" t="s">
        <v>2486</v>
      </c>
      <c r="AX297" s="41">
        <f t="shared" si="274"/>
        <v>0</v>
      </c>
      <c r="AY297" s="41">
        <f t="shared" si="275"/>
        <v>0</v>
      </c>
      <c r="AZ297" s="41">
        <v>0</v>
      </c>
      <c r="BA297" s="41">
        <f t="shared" si="276"/>
        <v>0</v>
      </c>
      <c r="BC297" s="21">
        <f t="shared" si="277"/>
        <v>0</v>
      </c>
      <c r="BD297" s="21">
        <f t="shared" si="278"/>
        <v>0</v>
      </c>
      <c r="BE297" s="21">
        <f t="shared" si="279"/>
        <v>0</v>
      </c>
      <c r="BF297" s="21" t="s">
        <v>2492</v>
      </c>
      <c r="BG297" s="41">
        <v>728</v>
      </c>
    </row>
    <row r="298" spans="1:59" x14ac:dyDescent="0.3">
      <c r="A298" s="4" t="s">
        <v>282</v>
      </c>
      <c r="B298" s="13"/>
      <c r="C298" s="13" t="s">
        <v>1136</v>
      </c>
      <c r="D298" s="101" t="s">
        <v>1841</v>
      </c>
      <c r="E298" s="102"/>
      <c r="F298" s="13" t="s">
        <v>2384</v>
      </c>
      <c r="G298" s="21">
        <v>4</v>
      </c>
      <c r="H298" s="21">
        <v>0</v>
      </c>
      <c r="I298" s="21">
        <f t="shared" si="254"/>
        <v>0</v>
      </c>
      <c r="J298" s="21">
        <f t="shared" si="255"/>
        <v>0</v>
      </c>
      <c r="K298" s="21">
        <f t="shared" si="256"/>
        <v>0</v>
      </c>
      <c r="L298" s="21">
        <v>0</v>
      </c>
      <c r="M298" s="21">
        <f t="shared" si="257"/>
        <v>0</v>
      </c>
      <c r="N298" s="35"/>
      <c r="O298" s="39"/>
      <c r="U298" s="41">
        <f t="shared" si="258"/>
        <v>0</v>
      </c>
      <c r="W298" s="41">
        <f t="shared" si="259"/>
        <v>0</v>
      </c>
      <c r="X298" s="41">
        <f t="shared" si="260"/>
        <v>0</v>
      </c>
      <c r="Y298" s="41">
        <f t="shared" si="261"/>
        <v>0</v>
      </c>
      <c r="Z298" s="41">
        <f t="shared" si="262"/>
        <v>0</v>
      </c>
      <c r="AA298" s="41">
        <f t="shared" si="263"/>
        <v>0</v>
      </c>
      <c r="AB298" s="41">
        <f t="shared" si="264"/>
        <v>0</v>
      </c>
      <c r="AC298" s="41">
        <f t="shared" si="265"/>
        <v>0</v>
      </c>
      <c r="AD298" s="31"/>
      <c r="AE298" s="21">
        <f t="shared" si="266"/>
        <v>0</v>
      </c>
      <c r="AF298" s="21">
        <f t="shared" si="267"/>
        <v>0</v>
      </c>
      <c r="AG298" s="21">
        <f t="shared" si="268"/>
        <v>0</v>
      </c>
      <c r="AI298" s="41">
        <v>21</v>
      </c>
      <c r="AJ298" s="41">
        <f t="shared" si="269"/>
        <v>0</v>
      </c>
      <c r="AK298" s="41">
        <f t="shared" si="270"/>
        <v>0</v>
      </c>
      <c r="AL298" s="42" t="s">
        <v>13</v>
      </c>
      <c r="AQ298" s="41">
        <f t="shared" si="271"/>
        <v>0</v>
      </c>
      <c r="AR298" s="41">
        <f t="shared" si="272"/>
        <v>0</v>
      </c>
      <c r="AS298" s="41">
        <f t="shared" si="273"/>
        <v>0</v>
      </c>
      <c r="AT298" s="44" t="s">
        <v>2438</v>
      </c>
      <c r="AU298" s="44" t="s">
        <v>2480</v>
      </c>
      <c r="AV298" s="31" t="s">
        <v>2486</v>
      </c>
      <c r="AX298" s="41">
        <f t="shared" si="274"/>
        <v>0</v>
      </c>
      <c r="AY298" s="41">
        <f t="shared" si="275"/>
        <v>0</v>
      </c>
      <c r="AZ298" s="41">
        <v>0</v>
      </c>
      <c r="BA298" s="41">
        <f t="shared" si="276"/>
        <v>0</v>
      </c>
      <c r="BC298" s="21">
        <f t="shared" si="277"/>
        <v>0</v>
      </c>
      <c r="BD298" s="21">
        <f t="shared" si="278"/>
        <v>0</v>
      </c>
      <c r="BE298" s="21">
        <f t="shared" si="279"/>
        <v>0</v>
      </c>
      <c r="BF298" s="21" t="s">
        <v>2492</v>
      </c>
      <c r="BG298" s="41">
        <v>728</v>
      </c>
    </row>
    <row r="299" spans="1:59" x14ac:dyDescent="0.3">
      <c r="A299" s="4" t="s">
        <v>283</v>
      </c>
      <c r="B299" s="13"/>
      <c r="C299" s="13" t="s">
        <v>1136</v>
      </c>
      <c r="D299" s="101" t="s">
        <v>1812</v>
      </c>
      <c r="E299" s="102"/>
      <c r="F299" s="13" t="s">
        <v>2384</v>
      </c>
      <c r="G299" s="21">
        <v>1</v>
      </c>
      <c r="H299" s="21">
        <v>0</v>
      </c>
      <c r="I299" s="21">
        <f t="shared" si="254"/>
        <v>0</v>
      </c>
      <c r="J299" s="21">
        <f t="shared" si="255"/>
        <v>0</v>
      </c>
      <c r="K299" s="21">
        <f t="shared" si="256"/>
        <v>0</v>
      </c>
      <c r="L299" s="21">
        <v>0</v>
      </c>
      <c r="M299" s="21">
        <f t="shared" si="257"/>
        <v>0</v>
      </c>
      <c r="N299" s="35"/>
      <c r="O299" s="39"/>
      <c r="U299" s="41">
        <f t="shared" si="258"/>
        <v>0</v>
      </c>
      <c r="W299" s="41">
        <f t="shared" si="259"/>
        <v>0</v>
      </c>
      <c r="X299" s="41">
        <f t="shared" si="260"/>
        <v>0</v>
      </c>
      <c r="Y299" s="41">
        <f t="shared" si="261"/>
        <v>0</v>
      </c>
      <c r="Z299" s="41">
        <f t="shared" si="262"/>
        <v>0</v>
      </c>
      <c r="AA299" s="41">
        <f t="shared" si="263"/>
        <v>0</v>
      </c>
      <c r="AB299" s="41">
        <f t="shared" si="264"/>
        <v>0</v>
      </c>
      <c r="AC299" s="41">
        <f t="shared" si="265"/>
        <v>0</v>
      </c>
      <c r="AD299" s="31"/>
      <c r="AE299" s="21">
        <f t="shared" si="266"/>
        <v>0</v>
      </c>
      <c r="AF299" s="21">
        <f t="shared" si="267"/>
        <v>0</v>
      </c>
      <c r="AG299" s="21">
        <f t="shared" si="268"/>
        <v>0</v>
      </c>
      <c r="AI299" s="41">
        <v>21</v>
      </c>
      <c r="AJ299" s="41">
        <f t="shared" si="269"/>
        <v>0</v>
      </c>
      <c r="AK299" s="41">
        <f t="shared" si="270"/>
        <v>0</v>
      </c>
      <c r="AL299" s="42" t="s">
        <v>13</v>
      </c>
      <c r="AQ299" s="41">
        <f t="shared" si="271"/>
        <v>0</v>
      </c>
      <c r="AR299" s="41">
        <f t="shared" si="272"/>
        <v>0</v>
      </c>
      <c r="AS299" s="41">
        <f t="shared" si="273"/>
        <v>0</v>
      </c>
      <c r="AT299" s="44" t="s">
        <v>2438</v>
      </c>
      <c r="AU299" s="44" t="s">
        <v>2480</v>
      </c>
      <c r="AV299" s="31" t="s">
        <v>2486</v>
      </c>
      <c r="AX299" s="41">
        <f t="shared" si="274"/>
        <v>0</v>
      </c>
      <c r="AY299" s="41">
        <f t="shared" si="275"/>
        <v>0</v>
      </c>
      <c r="AZ299" s="41">
        <v>0</v>
      </c>
      <c r="BA299" s="41">
        <f t="shared" si="276"/>
        <v>0</v>
      </c>
      <c r="BC299" s="21">
        <f t="shared" si="277"/>
        <v>0</v>
      </c>
      <c r="BD299" s="21">
        <f t="shared" si="278"/>
        <v>0</v>
      </c>
      <c r="BE299" s="21">
        <f t="shared" si="279"/>
        <v>0</v>
      </c>
      <c r="BF299" s="21" t="s">
        <v>2492</v>
      </c>
      <c r="BG299" s="41">
        <v>728</v>
      </c>
    </row>
    <row r="300" spans="1:59" x14ac:dyDescent="0.3">
      <c r="A300" s="4" t="s">
        <v>284</v>
      </c>
      <c r="B300" s="13"/>
      <c r="C300" s="13" t="s">
        <v>1136</v>
      </c>
      <c r="D300" s="101" t="s">
        <v>1812</v>
      </c>
      <c r="E300" s="102"/>
      <c r="F300" s="13" t="s">
        <v>2384</v>
      </c>
      <c r="G300" s="21">
        <v>1</v>
      </c>
      <c r="H300" s="21">
        <v>0</v>
      </c>
      <c r="I300" s="21">
        <f t="shared" si="254"/>
        <v>0</v>
      </c>
      <c r="J300" s="21">
        <f t="shared" si="255"/>
        <v>0</v>
      </c>
      <c r="K300" s="21">
        <f t="shared" si="256"/>
        <v>0</v>
      </c>
      <c r="L300" s="21">
        <v>0</v>
      </c>
      <c r="M300" s="21">
        <f t="shared" si="257"/>
        <v>0</v>
      </c>
      <c r="N300" s="35"/>
      <c r="O300" s="39"/>
      <c r="U300" s="41">
        <f t="shared" si="258"/>
        <v>0</v>
      </c>
      <c r="W300" s="41">
        <f t="shared" si="259"/>
        <v>0</v>
      </c>
      <c r="X300" s="41">
        <f t="shared" si="260"/>
        <v>0</v>
      </c>
      <c r="Y300" s="41">
        <f t="shared" si="261"/>
        <v>0</v>
      </c>
      <c r="Z300" s="41">
        <f t="shared" si="262"/>
        <v>0</v>
      </c>
      <c r="AA300" s="41">
        <f t="shared" si="263"/>
        <v>0</v>
      </c>
      <c r="AB300" s="41">
        <f t="shared" si="264"/>
        <v>0</v>
      </c>
      <c r="AC300" s="41">
        <f t="shared" si="265"/>
        <v>0</v>
      </c>
      <c r="AD300" s="31"/>
      <c r="AE300" s="21">
        <f t="shared" si="266"/>
        <v>0</v>
      </c>
      <c r="AF300" s="21">
        <f t="shared" si="267"/>
        <v>0</v>
      </c>
      <c r="AG300" s="21">
        <f t="shared" si="268"/>
        <v>0</v>
      </c>
      <c r="AI300" s="41">
        <v>21</v>
      </c>
      <c r="AJ300" s="41">
        <f t="shared" si="269"/>
        <v>0</v>
      </c>
      <c r="AK300" s="41">
        <f t="shared" si="270"/>
        <v>0</v>
      </c>
      <c r="AL300" s="42" t="s">
        <v>13</v>
      </c>
      <c r="AQ300" s="41">
        <f t="shared" si="271"/>
        <v>0</v>
      </c>
      <c r="AR300" s="41">
        <f t="shared" si="272"/>
        <v>0</v>
      </c>
      <c r="AS300" s="41">
        <f t="shared" si="273"/>
        <v>0</v>
      </c>
      <c r="AT300" s="44" t="s">
        <v>2438</v>
      </c>
      <c r="AU300" s="44" t="s">
        <v>2480</v>
      </c>
      <c r="AV300" s="31" t="s">
        <v>2486</v>
      </c>
      <c r="AX300" s="41">
        <f t="shared" si="274"/>
        <v>0</v>
      </c>
      <c r="AY300" s="41">
        <f t="shared" si="275"/>
        <v>0</v>
      </c>
      <c r="AZ300" s="41">
        <v>0</v>
      </c>
      <c r="BA300" s="41">
        <f t="shared" si="276"/>
        <v>0</v>
      </c>
      <c r="BC300" s="21">
        <f t="shared" si="277"/>
        <v>0</v>
      </c>
      <c r="BD300" s="21">
        <f t="shared" si="278"/>
        <v>0</v>
      </c>
      <c r="BE300" s="21">
        <f t="shared" si="279"/>
        <v>0</v>
      </c>
      <c r="BF300" s="21" t="s">
        <v>2492</v>
      </c>
      <c r="BG300" s="41">
        <v>728</v>
      </c>
    </row>
    <row r="301" spans="1:59" x14ac:dyDescent="0.3">
      <c r="A301" s="4" t="s">
        <v>285</v>
      </c>
      <c r="B301" s="13"/>
      <c r="C301" s="13" t="s">
        <v>1136</v>
      </c>
      <c r="D301" s="101" t="s">
        <v>1813</v>
      </c>
      <c r="E301" s="102"/>
      <c r="F301" s="13" t="s">
        <v>2384</v>
      </c>
      <c r="G301" s="21">
        <v>1</v>
      </c>
      <c r="H301" s="21">
        <v>0</v>
      </c>
      <c r="I301" s="21">
        <f t="shared" si="254"/>
        <v>0</v>
      </c>
      <c r="J301" s="21">
        <f t="shared" si="255"/>
        <v>0</v>
      </c>
      <c r="K301" s="21">
        <f t="shared" si="256"/>
        <v>0</v>
      </c>
      <c r="L301" s="21">
        <v>0</v>
      </c>
      <c r="M301" s="21">
        <f t="shared" si="257"/>
        <v>0</v>
      </c>
      <c r="N301" s="35"/>
      <c r="O301" s="39"/>
      <c r="U301" s="41">
        <f t="shared" si="258"/>
        <v>0</v>
      </c>
      <c r="W301" s="41">
        <f t="shared" si="259"/>
        <v>0</v>
      </c>
      <c r="X301" s="41">
        <f t="shared" si="260"/>
        <v>0</v>
      </c>
      <c r="Y301" s="41">
        <f t="shared" si="261"/>
        <v>0</v>
      </c>
      <c r="Z301" s="41">
        <f t="shared" si="262"/>
        <v>0</v>
      </c>
      <c r="AA301" s="41">
        <f t="shared" si="263"/>
        <v>0</v>
      </c>
      <c r="AB301" s="41">
        <f t="shared" si="264"/>
        <v>0</v>
      </c>
      <c r="AC301" s="41">
        <f t="shared" si="265"/>
        <v>0</v>
      </c>
      <c r="AD301" s="31"/>
      <c r="AE301" s="21">
        <f t="shared" si="266"/>
        <v>0</v>
      </c>
      <c r="AF301" s="21">
        <f t="shared" si="267"/>
        <v>0</v>
      </c>
      <c r="AG301" s="21">
        <f t="shared" si="268"/>
        <v>0</v>
      </c>
      <c r="AI301" s="41">
        <v>21</v>
      </c>
      <c r="AJ301" s="41">
        <f t="shared" si="269"/>
        <v>0</v>
      </c>
      <c r="AK301" s="41">
        <f t="shared" si="270"/>
        <v>0</v>
      </c>
      <c r="AL301" s="42" t="s">
        <v>13</v>
      </c>
      <c r="AQ301" s="41">
        <f t="shared" si="271"/>
        <v>0</v>
      </c>
      <c r="AR301" s="41">
        <f t="shared" si="272"/>
        <v>0</v>
      </c>
      <c r="AS301" s="41">
        <f t="shared" si="273"/>
        <v>0</v>
      </c>
      <c r="AT301" s="44" t="s">
        <v>2438</v>
      </c>
      <c r="AU301" s="44" t="s">
        <v>2480</v>
      </c>
      <c r="AV301" s="31" t="s">
        <v>2486</v>
      </c>
      <c r="AX301" s="41">
        <f t="shared" si="274"/>
        <v>0</v>
      </c>
      <c r="AY301" s="41">
        <f t="shared" si="275"/>
        <v>0</v>
      </c>
      <c r="AZ301" s="41">
        <v>0</v>
      </c>
      <c r="BA301" s="41">
        <f t="shared" si="276"/>
        <v>0</v>
      </c>
      <c r="BC301" s="21">
        <f t="shared" si="277"/>
        <v>0</v>
      </c>
      <c r="BD301" s="21">
        <f t="shared" si="278"/>
        <v>0</v>
      </c>
      <c r="BE301" s="21">
        <f t="shared" si="279"/>
        <v>0</v>
      </c>
      <c r="BF301" s="21" t="s">
        <v>2492</v>
      </c>
      <c r="BG301" s="41">
        <v>728</v>
      </c>
    </row>
    <row r="302" spans="1:59" x14ac:dyDescent="0.3">
      <c r="A302" s="4" t="s">
        <v>286</v>
      </c>
      <c r="B302" s="13"/>
      <c r="C302" s="13" t="s">
        <v>1136</v>
      </c>
      <c r="D302" s="101" t="s">
        <v>1813</v>
      </c>
      <c r="E302" s="102"/>
      <c r="F302" s="13" t="s">
        <v>2384</v>
      </c>
      <c r="G302" s="21">
        <v>1</v>
      </c>
      <c r="H302" s="21">
        <v>0</v>
      </c>
      <c r="I302" s="21">
        <f t="shared" si="254"/>
        <v>0</v>
      </c>
      <c r="J302" s="21">
        <f t="shared" si="255"/>
        <v>0</v>
      </c>
      <c r="K302" s="21">
        <f t="shared" si="256"/>
        <v>0</v>
      </c>
      <c r="L302" s="21">
        <v>0</v>
      </c>
      <c r="M302" s="21">
        <f t="shared" si="257"/>
        <v>0</v>
      </c>
      <c r="N302" s="35"/>
      <c r="O302" s="39"/>
      <c r="U302" s="41">
        <f t="shared" si="258"/>
        <v>0</v>
      </c>
      <c r="W302" s="41">
        <f t="shared" si="259"/>
        <v>0</v>
      </c>
      <c r="X302" s="41">
        <f t="shared" si="260"/>
        <v>0</v>
      </c>
      <c r="Y302" s="41">
        <f t="shared" si="261"/>
        <v>0</v>
      </c>
      <c r="Z302" s="41">
        <f t="shared" si="262"/>
        <v>0</v>
      </c>
      <c r="AA302" s="41">
        <f t="shared" si="263"/>
        <v>0</v>
      </c>
      <c r="AB302" s="41">
        <f t="shared" si="264"/>
        <v>0</v>
      </c>
      <c r="AC302" s="41">
        <f t="shared" si="265"/>
        <v>0</v>
      </c>
      <c r="AD302" s="31"/>
      <c r="AE302" s="21">
        <f t="shared" si="266"/>
        <v>0</v>
      </c>
      <c r="AF302" s="21">
        <f t="shared" si="267"/>
        <v>0</v>
      </c>
      <c r="AG302" s="21">
        <f t="shared" si="268"/>
        <v>0</v>
      </c>
      <c r="AI302" s="41">
        <v>21</v>
      </c>
      <c r="AJ302" s="41">
        <f t="shared" si="269"/>
        <v>0</v>
      </c>
      <c r="AK302" s="41">
        <f t="shared" si="270"/>
        <v>0</v>
      </c>
      <c r="AL302" s="42" t="s">
        <v>13</v>
      </c>
      <c r="AQ302" s="41">
        <f t="shared" si="271"/>
        <v>0</v>
      </c>
      <c r="AR302" s="41">
        <f t="shared" si="272"/>
        <v>0</v>
      </c>
      <c r="AS302" s="41">
        <f t="shared" si="273"/>
        <v>0</v>
      </c>
      <c r="AT302" s="44" t="s">
        <v>2438</v>
      </c>
      <c r="AU302" s="44" t="s">
        <v>2480</v>
      </c>
      <c r="AV302" s="31" t="s">
        <v>2486</v>
      </c>
      <c r="AX302" s="41">
        <f t="shared" si="274"/>
        <v>0</v>
      </c>
      <c r="AY302" s="41">
        <f t="shared" si="275"/>
        <v>0</v>
      </c>
      <c r="AZ302" s="41">
        <v>0</v>
      </c>
      <c r="BA302" s="41">
        <f t="shared" si="276"/>
        <v>0</v>
      </c>
      <c r="BC302" s="21">
        <f t="shared" si="277"/>
        <v>0</v>
      </c>
      <c r="BD302" s="21">
        <f t="shared" si="278"/>
        <v>0</v>
      </c>
      <c r="BE302" s="21">
        <f t="shared" si="279"/>
        <v>0</v>
      </c>
      <c r="BF302" s="21" t="s">
        <v>2492</v>
      </c>
      <c r="BG302" s="41">
        <v>728</v>
      </c>
    </row>
    <row r="303" spans="1:59" x14ac:dyDescent="0.3">
      <c r="A303" s="4" t="s">
        <v>287</v>
      </c>
      <c r="B303" s="13"/>
      <c r="C303" s="13" t="s">
        <v>1136</v>
      </c>
      <c r="D303" s="101" t="s">
        <v>1812</v>
      </c>
      <c r="E303" s="102"/>
      <c r="F303" s="13" t="s">
        <v>2384</v>
      </c>
      <c r="G303" s="21">
        <v>1</v>
      </c>
      <c r="H303" s="21">
        <v>0</v>
      </c>
      <c r="I303" s="21">
        <f t="shared" si="254"/>
        <v>0</v>
      </c>
      <c r="J303" s="21">
        <f t="shared" si="255"/>
        <v>0</v>
      </c>
      <c r="K303" s="21">
        <f t="shared" si="256"/>
        <v>0</v>
      </c>
      <c r="L303" s="21">
        <v>0</v>
      </c>
      <c r="M303" s="21">
        <f t="shared" si="257"/>
        <v>0</v>
      </c>
      <c r="N303" s="35"/>
      <c r="O303" s="39"/>
      <c r="U303" s="41">
        <f t="shared" si="258"/>
        <v>0</v>
      </c>
      <c r="W303" s="41">
        <f t="shared" si="259"/>
        <v>0</v>
      </c>
      <c r="X303" s="41">
        <f t="shared" si="260"/>
        <v>0</v>
      </c>
      <c r="Y303" s="41">
        <f t="shared" si="261"/>
        <v>0</v>
      </c>
      <c r="Z303" s="41">
        <f t="shared" si="262"/>
        <v>0</v>
      </c>
      <c r="AA303" s="41">
        <f t="shared" si="263"/>
        <v>0</v>
      </c>
      <c r="AB303" s="41">
        <f t="shared" si="264"/>
        <v>0</v>
      </c>
      <c r="AC303" s="41">
        <f t="shared" si="265"/>
        <v>0</v>
      </c>
      <c r="AD303" s="31"/>
      <c r="AE303" s="21">
        <f t="shared" si="266"/>
        <v>0</v>
      </c>
      <c r="AF303" s="21">
        <f t="shared" si="267"/>
        <v>0</v>
      </c>
      <c r="AG303" s="21">
        <f t="shared" si="268"/>
        <v>0</v>
      </c>
      <c r="AI303" s="41">
        <v>21</v>
      </c>
      <c r="AJ303" s="41">
        <f t="shared" si="269"/>
        <v>0</v>
      </c>
      <c r="AK303" s="41">
        <f t="shared" si="270"/>
        <v>0</v>
      </c>
      <c r="AL303" s="42" t="s">
        <v>13</v>
      </c>
      <c r="AQ303" s="41">
        <f t="shared" si="271"/>
        <v>0</v>
      </c>
      <c r="AR303" s="41">
        <f t="shared" si="272"/>
        <v>0</v>
      </c>
      <c r="AS303" s="41">
        <f t="shared" si="273"/>
        <v>0</v>
      </c>
      <c r="AT303" s="44" t="s">
        <v>2438</v>
      </c>
      <c r="AU303" s="44" t="s">
        <v>2480</v>
      </c>
      <c r="AV303" s="31" t="s">
        <v>2486</v>
      </c>
      <c r="AX303" s="41">
        <f t="shared" si="274"/>
        <v>0</v>
      </c>
      <c r="AY303" s="41">
        <f t="shared" si="275"/>
        <v>0</v>
      </c>
      <c r="AZ303" s="41">
        <v>0</v>
      </c>
      <c r="BA303" s="41">
        <f t="shared" si="276"/>
        <v>0</v>
      </c>
      <c r="BC303" s="21">
        <f t="shared" si="277"/>
        <v>0</v>
      </c>
      <c r="BD303" s="21">
        <f t="shared" si="278"/>
        <v>0</v>
      </c>
      <c r="BE303" s="21">
        <f t="shared" si="279"/>
        <v>0</v>
      </c>
      <c r="BF303" s="21" t="s">
        <v>2492</v>
      </c>
      <c r="BG303" s="41">
        <v>728</v>
      </c>
    </row>
    <row r="304" spans="1:59" x14ac:dyDescent="0.3">
      <c r="A304" s="4" t="s">
        <v>288</v>
      </c>
      <c r="B304" s="13"/>
      <c r="C304" s="13" t="s">
        <v>1136</v>
      </c>
      <c r="D304" s="101" t="s">
        <v>1812</v>
      </c>
      <c r="E304" s="102"/>
      <c r="F304" s="13" t="s">
        <v>2384</v>
      </c>
      <c r="G304" s="21">
        <v>1</v>
      </c>
      <c r="H304" s="21">
        <v>0</v>
      </c>
      <c r="I304" s="21">
        <f t="shared" si="254"/>
        <v>0</v>
      </c>
      <c r="J304" s="21">
        <f t="shared" si="255"/>
        <v>0</v>
      </c>
      <c r="K304" s="21">
        <f t="shared" si="256"/>
        <v>0</v>
      </c>
      <c r="L304" s="21">
        <v>0</v>
      </c>
      <c r="M304" s="21">
        <f t="shared" si="257"/>
        <v>0</v>
      </c>
      <c r="N304" s="35"/>
      <c r="O304" s="39"/>
      <c r="U304" s="41">
        <f t="shared" si="258"/>
        <v>0</v>
      </c>
      <c r="W304" s="41">
        <f t="shared" si="259"/>
        <v>0</v>
      </c>
      <c r="X304" s="41">
        <f t="shared" si="260"/>
        <v>0</v>
      </c>
      <c r="Y304" s="41">
        <f t="shared" si="261"/>
        <v>0</v>
      </c>
      <c r="Z304" s="41">
        <f t="shared" si="262"/>
        <v>0</v>
      </c>
      <c r="AA304" s="41">
        <f t="shared" si="263"/>
        <v>0</v>
      </c>
      <c r="AB304" s="41">
        <f t="shared" si="264"/>
        <v>0</v>
      </c>
      <c r="AC304" s="41">
        <f t="shared" si="265"/>
        <v>0</v>
      </c>
      <c r="AD304" s="31"/>
      <c r="AE304" s="21">
        <f t="shared" si="266"/>
        <v>0</v>
      </c>
      <c r="AF304" s="21">
        <f t="shared" si="267"/>
        <v>0</v>
      </c>
      <c r="AG304" s="21">
        <f t="shared" si="268"/>
        <v>0</v>
      </c>
      <c r="AI304" s="41">
        <v>21</v>
      </c>
      <c r="AJ304" s="41">
        <f t="shared" si="269"/>
        <v>0</v>
      </c>
      <c r="AK304" s="41">
        <f t="shared" si="270"/>
        <v>0</v>
      </c>
      <c r="AL304" s="42" t="s">
        <v>13</v>
      </c>
      <c r="AQ304" s="41">
        <f t="shared" si="271"/>
        <v>0</v>
      </c>
      <c r="AR304" s="41">
        <f t="shared" si="272"/>
        <v>0</v>
      </c>
      <c r="AS304" s="41">
        <f t="shared" si="273"/>
        <v>0</v>
      </c>
      <c r="AT304" s="44" t="s">
        <v>2438</v>
      </c>
      <c r="AU304" s="44" t="s">
        <v>2480</v>
      </c>
      <c r="AV304" s="31" t="s">
        <v>2486</v>
      </c>
      <c r="AX304" s="41">
        <f t="shared" si="274"/>
        <v>0</v>
      </c>
      <c r="AY304" s="41">
        <f t="shared" si="275"/>
        <v>0</v>
      </c>
      <c r="AZ304" s="41">
        <v>0</v>
      </c>
      <c r="BA304" s="41">
        <f t="shared" si="276"/>
        <v>0</v>
      </c>
      <c r="BC304" s="21">
        <f t="shared" si="277"/>
        <v>0</v>
      </c>
      <c r="BD304" s="21">
        <f t="shared" si="278"/>
        <v>0</v>
      </c>
      <c r="BE304" s="21">
        <f t="shared" si="279"/>
        <v>0</v>
      </c>
      <c r="BF304" s="21" t="s">
        <v>2492</v>
      </c>
      <c r="BG304" s="41">
        <v>728</v>
      </c>
    </row>
    <row r="305" spans="1:59" x14ac:dyDescent="0.3">
      <c r="A305" s="4" t="s">
        <v>289</v>
      </c>
      <c r="B305" s="13"/>
      <c r="C305" s="13" t="s">
        <v>1136</v>
      </c>
      <c r="D305" s="101" t="s">
        <v>1813</v>
      </c>
      <c r="E305" s="102"/>
      <c r="F305" s="13" t="s">
        <v>2384</v>
      </c>
      <c r="G305" s="21">
        <v>1</v>
      </c>
      <c r="H305" s="21">
        <v>0</v>
      </c>
      <c r="I305" s="21">
        <f t="shared" si="254"/>
        <v>0</v>
      </c>
      <c r="J305" s="21">
        <f t="shared" si="255"/>
        <v>0</v>
      </c>
      <c r="K305" s="21">
        <f t="shared" si="256"/>
        <v>0</v>
      </c>
      <c r="L305" s="21">
        <v>0</v>
      </c>
      <c r="M305" s="21">
        <f t="shared" si="257"/>
        <v>0</v>
      </c>
      <c r="N305" s="35"/>
      <c r="O305" s="39"/>
      <c r="U305" s="41">
        <f t="shared" si="258"/>
        <v>0</v>
      </c>
      <c r="W305" s="41">
        <f t="shared" si="259"/>
        <v>0</v>
      </c>
      <c r="X305" s="41">
        <f t="shared" si="260"/>
        <v>0</v>
      </c>
      <c r="Y305" s="41">
        <f t="shared" si="261"/>
        <v>0</v>
      </c>
      <c r="Z305" s="41">
        <f t="shared" si="262"/>
        <v>0</v>
      </c>
      <c r="AA305" s="41">
        <f t="shared" si="263"/>
        <v>0</v>
      </c>
      <c r="AB305" s="41">
        <f t="shared" si="264"/>
        <v>0</v>
      </c>
      <c r="AC305" s="41">
        <f t="shared" si="265"/>
        <v>0</v>
      </c>
      <c r="AD305" s="31"/>
      <c r="AE305" s="21">
        <f t="shared" si="266"/>
        <v>0</v>
      </c>
      <c r="AF305" s="21">
        <f t="shared" si="267"/>
        <v>0</v>
      </c>
      <c r="AG305" s="21">
        <f t="shared" si="268"/>
        <v>0</v>
      </c>
      <c r="AI305" s="41">
        <v>21</v>
      </c>
      <c r="AJ305" s="41">
        <f t="shared" si="269"/>
        <v>0</v>
      </c>
      <c r="AK305" s="41">
        <f t="shared" si="270"/>
        <v>0</v>
      </c>
      <c r="AL305" s="42" t="s">
        <v>13</v>
      </c>
      <c r="AQ305" s="41">
        <f t="shared" si="271"/>
        <v>0</v>
      </c>
      <c r="AR305" s="41">
        <f t="shared" si="272"/>
        <v>0</v>
      </c>
      <c r="AS305" s="41">
        <f t="shared" si="273"/>
        <v>0</v>
      </c>
      <c r="AT305" s="44" t="s">
        <v>2438</v>
      </c>
      <c r="AU305" s="44" t="s">
        <v>2480</v>
      </c>
      <c r="AV305" s="31" t="s">
        <v>2486</v>
      </c>
      <c r="AX305" s="41">
        <f t="shared" si="274"/>
        <v>0</v>
      </c>
      <c r="AY305" s="41">
        <f t="shared" si="275"/>
        <v>0</v>
      </c>
      <c r="AZ305" s="41">
        <v>0</v>
      </c>
      <c r="BA305" s="41">
        <f t="shared" si="276"/>
        <v>0</v>
      </c>
      <c r="BC305" s="21">
        <f t="shared" si="277"/>
        <v>0</v>
      </c>
      <c r="BD305" s="21">
        <f t="shared" si="278"/>
        <v>0</v>
      </c>
      <c r="BE305" s="21">
        <f t="shared" si="279"/>
        <v>0</v>
      </c>
      <c r="BF305" s="21" t="s">
        <v>2492</v>
      </c>
      <c r="BG305" s="41">
        <v>728</v>
      </c>
    </row>
    <row r="306" spans="1:59" x14ac:dyDescent="0.3">
      <c r="A306" s="4" t="s">
        <v>290</v>
      </c>
      <c r="B306" s="13"/>
      <c r="C306" s="13" t="s">
        <v>1136</v>
      </c>
      <c r="D306" s="101" t="s">
        <v>1813</v>
      </c>
      <c r="E306" s="102"/>
      <c r="F306" s="13" t="s">
        <v>2384</v>
      </c>
      <c r="G306" s="21">
        <v>1</v>
      </c>
      <c r="H306" s="21">
        <v>0</v>
      </c>
      <c r="I306" s="21">
        <f t="shared" si="254"/>
        <v>0</v>
      </c>
      <c r="J306" s="21">
        <f t="shared" si="255"/>
        <v>0</v>
      </c>
      <c r="K306" s="21">
        <f t="shared" si="256"/>
        <v>0</v>
      </c>
      <c r="L306" s="21">
        <v>0</v>
      </c>
      <c r="M306" s="21">
        <f t="shared" si="257"/>
        <v>0</v>
      </c>
      <c r="N306" s="35"/>
      <c r="O306" s="39"/>
      <c r="U306" s="41">
        <f t="shared" si="258"/>
        <v>0</v>
      </c>
      <c r="W306" s="41">
        <f t="shared" si="259"/>
        <v>0</v>
      </c>
      <c r="X306" s="41">
        <f t="shared" si="260"/>
        <v>0</v>
      </c>
      <c r="Y306" s="41">
        <f t="shared" si="261"/>
        <v>0</v>
      </c>
      <c r="Z306" s="41">
        <f t="shared" si="262"/>
        <v>0</v>
      </c>
      <c r="AA306" s="41">
        <f t="shared" si="263"/>
        <v>0</v>
      </c>
      <c r="AB306" s="41">
        <f t="shared" si="264"/>
        <v>0</v>
      </c>
      <c r="AC306" s="41">
        <f t="shared" si="265"/>
        <v>0</v>
      </c>
      <c r="AD306" s="31"/>
      <c r="AE306" s="21">
        <f t="shared" si="266"/>
        <v>0</v>
      </c>
      <c r="AF306" s="21">
        <f t="shared" si="267"/>
        <v>0</v>
      </c>
      <c r="AG306" s="21">
        <f t="shared" si="268"/>
        <v>0</v>
      </c>
      <c r="AI306" s="41">
        <v>21</v>
      </c>
      <c r="AJ306" s="41">
        <f t="shared" si="269"/>
        <v>0</v>
      </c>
      <c r="AK306" s="41">
        <f t="shared" si="270"/>
        <v>0</v>
      </c>
      <c r="AL306" s="42" t="s">
        <v>13</v>
      </c>
      <c r="AQ306" s="41">
        <f t="shared" si="271"/>
        <v>0</v>
      </c>
      <c r="AR306" s="41">
        <f t="shared" si="272"/>
        <v>0</v>
      </c>
      <c r="AS306" s="41">
        <f t="shared" si="273"/>
        <v>0</v>
      </c>
      <c r="AT306" s="44" t="s">
        <v>2438</v>
      </c>
      <c r="AU306" s="44" t="s">
        <v>2480</v>
      </c>
      <c r="AV306" s="31" t="s">
        <v>2486</v>
      </c>
      <c r="AX306" s="41">
        <f t="shared" si="274"/>
        <v>0</v>
      </c>
      <c r="AY306" s="41">
        <f t="shared" si="275"/>
        <v>0</v>
      </c>
      <c r="AZ306" s="41">
        <v>0</v>
      </c>
      <c r="BA306" s="41">
        <f t="shared" si="276"/>
        <v>0</v>
      </c>
      <c r="BC306" s="21">
        <f t="shared" si="277"/>
        <v>0</v>
      </c>
      <c r="BD306" s="21">
        <f t="shared" si="278"/>
        <v>0</v>
      </c>
      <c r="BE306" s="21">
        <f t="shared" si="279"/>
        <v>0</v>
      </c>
      <c r="BF306" s="21" t="s">
        <v>2492</v>
      </c>
      <c r="BG306" s="41">
        <v>728</v>
      </c>
    </row>
    <row r="307" spans="1:59" x14ac:dyDescent="0.3">
      <c r="A307" s="4" t="s">
        <v>291</v>
      </c>
      <c r="B307" s="13"/>
      <c r="C307" s="13" t="s">
        <v>1136</v>
      </c>
      <c r="D307" s="101" t="s">
        <v>1815</v>
      </c>
      <c r="E307" s="102"/>
      <c r="F307" s="13" t="s">
        <v>2384</v>
      </c>
      <c r="G307" s="21">
        <v>1</v>
      </c>
      <c r="H307" s="21">
        <v>0</v>
      </c>
      <c r="I307" s="21">
        <f t="shared" si="254"/>
        <v>0</v>
      </c>
      <c r="J307" s="21">
        <f t="shared" si="255"/>
        <v>0</v>
      </c>
      <c r="K307" s="21">
        <f t="shared" si="256"/>
        <v>0</v>
      </c>
      <c r="L307" s="21">
        <v>0</v>
      </c>
      <c r="M307" s="21">
        <f t="shared" si="257"/>
        <v>0</v>
      </c>
      <c r="N307" s="35"/>
      <c r="O307" s="39"/>
      <c r="U307" s="41">
        <f t="shared" si="258"/>
        <v>0</v>
      </c>
      <c r="W307" s="41">
        <f t="shared" si="259"/>
        <v>0</v>
      </c>
      <c r="X307" s="41">
        <f t="shared" si="260"/>
        <v>0</v>
      </c>
      <c r="Y307" s="41">
        <f t="shared" si="261"/>
        <v>0</v>
      </c>
      <c r="Z307" s="41">
        <f t="shared" si="262"/>
        <v>0</v>
      </c>
      <c r="AA307" s="41">
        <f t="shared" si="263"/>
        <v>0</v>
      </c>
      <c r="AB307" s="41">
        <f t="shared" si="264"/>
        <v>0</v>
      </c>
      <c r="AC307" s="41">
        <f t="shared" si="265"/>
        <v>0</v>
      </c>
      <c r="AD307" s="31"/>
      <c r="AE307" s="21">
        <f t="shared" si="266"/>
        <v>0</v>
      </c>
      <c r="AF307" s="21">
        <f t="shared" si="267"/>
        <v>0</v>
      </c>
      <c r="AG307" s="21">
        <f t="shared" si="268"/>
        <v>0</v>
      </c>
      <c r="AI307" s="41">
        <v>21</v>
      </c>
      <c r="AJ307" s="41">
        <f t="shared" si="269"/>
        <v>0</v>
      </c>
      <c r="AK307" s="41">
        <f t="shared" si="270"/>
        <v>0</v>
      </c>
      <c r="AL307" s="42" t="s">
        <v>13</v>
      </c>
      <c r="AQ307" s="41">
        <f t="shared" si="271"/>
        <v>0</v>
      </c>
      <c r="AR307" s="41">
        <f t="shared" si="272"/>
        <v>0</v>
      </c>
      <c r="AS307" s="41">
        <f t="shared" si="273"/>
        <v>0</v>
      </c>
      <c r="AT307" s="44" t="s">
        <v>2438</v>
      </c>
      <c r="AU307" s="44" t="s">
        <v>2480</v>
      </c>
      <c r="AV307" s="31" t="s">
        <v>2486</v>
      </c>
      <c r="AX307" s="41">
        <f t="shared" si="274"/>
        <v>0</v>
      </c>
      <c r="AY307" s="41">
        <f t="shared" si="275"/>
        <v>0</v>
      </c>
      <c r="AZ307" s="41">
        <v>0</v>
      </c>
      <c r="BA307" s="41">
        <f t="shared" si="276"/>
        <v>0</v>
      </c>
      <c r="BC307" s="21">
        <f t="shared" si="277"/>
        <v>0</v>
      </c>
      <c r="BD307" s="21">
        <f t="shared" si="278"/>
        <v>0</v>
      </c>
      <c r="BE307" s="21">
        <f t="shared" si="279"/>
        <v>0</v>
      </c>
      <c r="BF307" s="21" t="s">
        <v>2492</v>
      </c>
      <c r="BG307" s="41">
        <v>728</v>
      </c>
    </row>
    <row r="308" spans="1:59" x14ac:dyDescent="0.3">
      <c r="A308" s="4" t="s">
        <v>292</v>
      </c>
      <c r="B308" s="13"/>
      <c r="C308" s="13" t="s">
        <v>1136</v>
      </c>
      <c r="D308" s="101" t="s">
        <v>1815</v>
      </c>
      <c r="E308" s="102"/>
      <c r="F308" s="13" t="s">
        <v>2384</v>
      </c>
      <c r="G308" s="21">
        <v>1</v>
      </c>
      <c r="H308" s="21">
        <v>0</v>
      </c>
      <c r="I308" s="21">
        <f t="shared" si="254"/>
        <v>0</v>
      </c>
      <c r="J308" s="21">
        <f t="shared" si="255"/>
        <v>0</v>
      </c>
      <c r="K308" s="21">
        <f t="shared" si="256"/>
        <v>0</v>
      </c>
      <c r="L308" s="21">
        <v>0</v>
      </c>
      <c r="M308" s="21">
        <f t="shared" si="257"/>
        <v>0</v>
      </c>
      <c r="N308" s="35"/>
      <c r="O308" s="39"/>
      <c r="U308" s="41">
        <f t="shared" si="258"/>
        <v>0</v>
      </c>
      <c r="W308" s="41">
        <f t="shared" si="259"/>
        <v>0</v>
      </c>
      <c r="X308" s="41">
        <f t="shared" si="260"/>
        <v>0</v>
      </c>
      <c r="Y308" s="41">
        <f t="shared" si="261"/>
        <v>0</v>
      </c>
      <c r="Z308" s="41">
        <f t="shared" si="262"/>
        <v>0</v>
      </c>
      <c r="AA308" s="41">
        <f t="shared" si="263"/>
        <v>0</v>
      </c>
      <c r="AB308" s="41">
        <f t="shared" si="264"/>
        <v>0</v>
      </c>
      <c r="AC308" s="41">
        <f t="shared" si="265"/>
        <v>0</v>
      </c>
      <c r="AD308" s="31"/>
      <c r="AE308" s="21">
        <f t="shared" si="266"/>
        <v>0</v>
      </c>
      <c r="AF308" s="21">
        <f t="shared" si="267"/>
        <v>0</v>
      </c>
      <c r="AG308" s="21">
        <f t="shared" si="268"/>
        <v>0</v>
      </c>
      <c r="AI308" s="41">
        <v>21</v>
      </c>
      <c r="AJ308" s="41">
        <f t="shared" si="269"/>
        <v>0</v>
      </c>
      <c r="AK308" s="41">
        <f t="shared" si="270"/>
        <v>0</v>
      </c>
      <c r="AL308" s="42" t="s">
        <v>13</v>
      </c>
      <c r="AQ308" s="41">
        <f t="shared" si="271"/>
        <v>0</v>
      </c>
      <c r="AR308" s="41">
        <f t="shared" si="272"/>
        <v>0</v>
      </c>
      <c r="AS308" s="41">
        <f t="shared" si="273"/>
        <v>0</v>
      </c>
      <c r="AT308" s="44" t="s">
        <v>2438</v>
      </c>
      <c r="AU308" s="44" t="s">
        <v>2480</v>
      </c>
      <c r="AV308" s="31" t="s">
        <v>2486</v>
      </c>
      <c r="AX308" s="41">
        <f t="shared" si="274"/>
        <v>0</v>
      </c>
      <c r="AY308" s="41">
        <f t="shared" si="275"/>
        <v>0</v>
      </c>
      <c r="AZ308" s="41">
        <v>0</v>
      </c>
      <c r="BA308" s="41">
        <f t="shared" si="276"/>
        <v>0</v>
      </c>
      <c r="BC308" s="21">
        <f t="shared" si="277"/>
        <v>0</v>
      </c>
      <c r="BD308" s="21">
        <f t="shared" si="278"/>
        <v>0</v>
      </c>
      <c r="BE308" s="21">
        <f t="shared" si="279"/>
        <v>0</v>
      </c>
      <c r="BF308" s="21" t="s">
        <v>2492</v>
      </c>
      <c r="BG308" s="41">
        <v>728</v>
      </c>
    </row>
    <row r="309" spans="1:59" x14ac:dyDescent="0.3">
      <c r="A309" s="4" t="s">
        <v>293</v>
      </c>
      <c r="B309" s="13"/>
      <c r="C309" s="13" t="s">
        <v>1136</v>
      </c>
      <c r="D309" s="101" t="s">
        <v>1814</v>
      </c>
      <c r="E309" s="102"/>
      <c r="F309" s="13" t="s">
        <v>2384</v>
      </c>
      <c r="G309" s="21">
        <v>1</v>
      </c>
      <c r="H309" s="21">
        <v>0</v>
      </c>
      <c r="I309" s="21">
        <f t="shared" si="254"/>
        <v>0</v>
      </c>
      <c r="J309" s="21">
        <f t="shared" si="255"/>
        <v>0</v>
      </c>
      <c r="K309" s="21">
        <f t="shared" si="256"/>
        <v>0</v>
      </c>
      <c r="L309" s="21">
        <v>0</v>
      </c>
      <c r="M309" s="21">
        <f t="shared" si="257"/>
        <v>0</v>
      </c>
      <c r="N309" s="35"/>
      <c r="O309" s="39"/>
      <c r="U309" s="41">
        <f t="shared" si="258"/>
        <v>0</v>
      </c>
      <c r="W309" s="41">
        <f t="shared" si="259"/>
        <v>0</v>
      </c>
      <c r="X309" s="41">
        <f t="shared" si="260"/>
        <v>0</v>
      </c>
      <c r="Y309" s="41">
        <f t="shared" si="261"/>
        <v>0</v>
      </c>
      <c r="Z309" s="41">
        <f t="shared" si="262"/>
        <v>0</v>
      </c>
      <c r="AA309" s="41">
        <f t="shared" si="263"/>
        <v>0</v>
      </c>
      <c r="AB309" s="41">
        <f t="shared" si="264"/>
        <v>0</v>
      </c>
      <c r="AC309" s="41">
        <f t="shared" si="265"/>
        <v>0</v>
      </c>
      <c r="AD309" s="31"/>
      <c r="AE309" s="21">
        <f t="shared" si="266"/>
        <v>0</v>
      </c>
      <c r="AF309" s="21">
        <f t="shared" si="267"/>
        <v>0</v>
      </c>
      <c r="AG309" s="21">
        <f t="shared" si="268"/>
        <v>0</v>
      </c>
      <c r="AI309" s="41">
        <v>21</v>
      </c>
      <c r="AJ309" s="41">
        <f t="shared" si="269"/>
        <v>0</v>
      </c>
      <c r="AK309" s="41">
        <f t="shared" si="270"/>
        <v>0</v>
      </c>
      <c r="AL309" s="42" t="s">
        <v>13</v>
      </c>
      <c r="AQ309" s="41">
        <f t="shared" si="271"/>
        <v>0</v>
      </c>
      <c r="AR309" s="41">
        <f t="shared" si="272"/>
        <v>0</v>
      </c>
      <c r="AS309" s="41">
        <f t="shared" si="273"/>
        <v>0</v>
      </c>
      <c r="AT309" s="44" t="s">
        <v>2438</v>
      </c>
      <c r="AU309" s="44" t="s">
        <v>2480</v>
      </c>
      <c r="AV309" s="31" t="s">
        <v>2486</v>
      </c>
      <c r="AX309" s="41">
        <f t="shared" si="274"/>
        <v>0</v>
      </c>
      <c r="AY309" s="41">
        <f t="shared" si="275"/>
        <v>0</v>
      </c>
      <c r="AZ309" s="41">
        <v>0</v>
      </c>
      <c r="BA309" s="41">
        <f t="shared" si="276"/>
        <v>0</v>
      </c>
      <c r="BC309" s="21">
        <f t="shared" si="277"/>
        <v>0</v>
      </c>
      <c r="BD309" s="21">
        <f t="shared" si="278"/>
        <v>0</v>
      </c>
      <c r="BE309" s="21">
        <f t="shared" si="279"/>
        <v>0</v>
      </c>
      <c r="BF309" s="21" t="s">
        <v>2492</v>
      </c>
      <c r="BG309" s="41">
        <v>728</v>
      </c>
    </row>
    <row r="310" spans="1:59" x14ac:dyDescent="0.3">
      <c r="A310" s="4" t="s">
        <v>294</v>
      </c>
      <c r="B310" s="13"/>
      <c r="C310" s="13" t="s">
        <v>1136</v>
      </c>
      <c r="D310" s="101" t="s">
        <v>1814</v>
      </c>
      <c r="E310" s="102"/>
      <c r="F310" s="13" t="s">
        <v>2384</v>
      </c>
      <c r="G310" s="21">
        <v>1</v>
      </c>
      <c r="H310" s="21">
        <v>0</v>
      </c>
      <c r="I310" s="21">
        <f t="shared" si="254"/>
        <v>0</v>
      </c>
      <c r="J310" s="21">
        <f t="shared" si="255"/>
        <v>0</v>
      </c>
      <c r="K310" s="21">
        <f t="shared" si="256"/>
        <v>0</v>
      </c>
      <c r="L310" s="21">
        <v>0</v>
      </c>
      <c r="M310" s="21">
        <f t="shared" si="257"/>
        <v>0</v>
      </c>
      <c r="N310" s="35"/>
      <c r="O310" s="39"/>
      <c r="U310" s="41">
        <f t="shared" si="258"/>
        <v>0</v>
      </c>
      <c r="W310" s="41">
        <f t="shared" si="259"/>
        <v>0</v>
      </c>
      <c r="X310" s="41">
        <f t="shared" si="260"/>
        <v>0</v>
      </c>
      <c r="Y310" s="41">
        <f t="shared" si="261"/>
        <v>0</v>
      </c>
      <c r="Z310" s="41">
        <f t="shared" si="262"/>
        <v>0</v>
      </c>
      <c r="AA310" s="41">
        <f t="shared" si="263"/>
        <v>0</v>
      </c>
      <c r="AB310" s="41">
        <f t="shared" si="264"/>
        <v>0</v>
      </c>
      <c r="AC310" s="41">
        <f t="shared" si="265"/>
        <v>0</v>
      </c>
      <c r="AD310" s="31"/>
      <c r="AE310" s="21">
        <f t="shared" si="266"/>
        <v>0</v>
      </c>
      <c r="AF310" s="21">
        <f t="shared" si="267"/>
        <v>0</v>
      </c>
      <c r="AG310" s="21">
        <f t="shared" si="268"/>
        <v>0</v>
      </c>
      <c r="AI310" s="41">
        <v>21</v>
      </c>
      <c r="AJ310" s="41">
        <f t="shared" si="269"/>
        <v>0</v>
      </c>
      <c r="AK310" s="41">
        <f t="shared" si="270"/>
        <v>0</v>
      </c>
      <c r="AL310" s="42" t="s">
        <v>13</v>
      </c>
      <c r="AQ310" s="41">
        <f t="shared" si="271"/>
        <v>0</v>
      </c>
      <c r="AR310" s="41">
        <f t="shared" si="272"/>
        <v>0</v>
      </c>
      <c r="AS310" s="41">
        <f t="shared" si="273"/>
        <v>0</v>
      </c>
      <c r="AT310" s="44" t="s">
        <v>2438</v>
      </c>
      <c r="AU310" s="44" t="s">
        <v>2480</v>
      </c>
      <c r="AV310" s="31" t="s">
        <v>2486</v>
      </c>
      <c r="AX310" s="41">
        <f t="shared" si="274"/>
        <v>0</v>
      </c>
      <c r="AY310" s="41">
        <f t="shared" si="275"/>
        <v>0</v>
      </c>
      <c r="AZ310" s="41">
        <v>0</v>
      </c>
      <c r="BA310" s="41">
        <f t="shared" si="276"/>
        <v>0</v>
      </c>
      <c r="BC310" s="21">
        <f t="shared" si="277"/>
        <v>0</v>
      </c>
      <c r="BD310" s="21">
        <f t="shared" si="278"/>
        <v>0</v>
      </c>
      <c r="BE310" s="21">
        <f t="shared" si="279"/>
        <v>0</v>
      </c>
      <c r="BF310" s="21" t="s">
        <v>2492</v>
      </c>
      <c r="BG310" s="41">
        <v>728</v>
      </c>
    </row>
    <row r="311" spans="1:59" x14ac:dyDescent="0.3">
      <c r="A311" s="4" t="s">
        <v>295</v>
      </c>
      <c r="B311" s="13"/>
      <c r="C311" s="13" t="s">
        <v>1136</v>
      </c>
      <c r="D311" s="101" t="s">
        <v>1815</v>
      </c>
      <c r="E311" s="102"/>
      <c r="F311" s="13" t="s">
        <v>2384</v>
      </c>
      <c r="G311" s="21">
        <v>1</v>
      </c>
      <c r="H311" s="21">
        <v>0</v>
      </c>
      <c r="I311" s="21">
        <f t="shared" si="254"/>
        <v>0</v>
      </c>
      <c r="J311" s="21">
        <f t="shared" si="255"/>
        <v>0</v>
      </c>
      <c r="K311" s="21">
        <f t="shared" si="256"/>
        <v>0</v>
      </c>
      <c r="L311" s="21">
        <v>0</v>
      </c>
      <c r="M311" s="21">
        <f t="shared" si="257"/>
        <v>0</v>
      </c>
      <c r="N311" s="35"/>
      <c r="O311" s="39"/>
      <c r="U311" s="41">
        <f t="shared" si="258"/>
        <v>0</v>
      </c>
      <c r="W311" s="41">
        <f t="shared" si="259"/>
        <v>0</v>
      </c>
      <c r="X311" s="41">
        <f t="shared" si="260"/>
        <v>0</v>
      </c>
      <c r="Y311" s="41">
        <f t="shared" si="261"/>
        <v>0</v>
      </c>
      <c r="Z311" s="41">
        <f t="shared" si="262"/>
        <v>0</v>
      </c>
      <c r="AA311" s="41">
        <f t="shared" si="263"/>
        <v>0</v>
      </c>
      <c r="AB311" s="41">
        <f t="shared" si="264"/>
        <v>0</v>
      </c>
      <c r="AC311" s="41">
        <f t="shared" si="265"/>
        <v>0</v>
      </c>
      <c r="AD311" s="31"/>
      <c r="AE311" s="21">
        <f t="shared" si="266"/>
        <v>0</v>
      </c>
      <c r="AF311" s="21">
        <f t="shared" si="267"/>
        <v>0</v>
      </c>
      <c r="AG311" s="21">
        <f t="shared" si="268"/>
        <v>0</v>
      </c>
      <c r="AI311" s="41">
        <v>21</v>
      </c>
      <c r="AJ311" s="41">
        <f t="shared" si="269"/>
        <v>0</v>
      </c>
      <c r="AK311" s="41">
        <f t="shared" si="270"/>
        <v>0</v>
      </c>
      <c r="AL311" s="42" t="s">
        <v>13</v>
      </c>
      <c r="AQ311" s="41">
        <f t="shared" si="271"/>
        <v>0</v>
      </c>
      <c r="AR311" s="41">
        <f t="shared" si="272"/>
        <v>0</v>
      </c>
      <c r="AS311" s="41">
        <f t="shared" si="273"/>
        <v>0</v>
      </c>
      <c r="AT311" s="44" t="s">
        <v>2438</v>
      </c>
      <c r="AU311" s="44" t="s">
        <v>2480</v>
      </c>
      <c r="AV311" s="31" t="s">
        <v>2486</v>
      </c>
      <c r="AX311" s="41">
        <f t="shared" si="274"/>
        <v>0</v>
      </c>
      <c r="AY311" s="41">
        <f t="shared" si="275"/>
        <v>0</v>
      </c>
      <c r="AZ311" s="41">
        <v>0</v>
      </c>
      <c r="BA311" s="41">
        <f t="shared" si="276"/>
        <v>0</v>
      </c>
      <c r="BC311" s="21">
        <f t="shared" si="277"/>
        <v>0</v>
      </c>
      <c r="BD311" s="21">
        <f t="shared" si="278"/>
        <v>0</v>
      </c>
      <c r="BE311" s="21">
        <f t="shared" si="279"/>
        <v>0</v>
      </c>
      <c r="BF311" s="21" t="s">
        <v>2492</v>
      </c>
      <c r="BG311" s="41">
        <v>728</v>
      </c>
    </row>
    <row r="312" spans="1:59" x14ac:dyDescent="0.3">
      <c r="A312" s="4" t="s">
        <v>296</v>
      </c>
      <c r="B312" s="13"/>
      <c r="C312" s="13" t="s">
        <v>1136</v>
      </c>
      <c r="D312" s="101" t="s">
        <v>1815</v>
      </c>
      <c r="E312" s="102"/>
      <c r="F312" s="13" t="s">
        <v>2384</v>
      </c>
      <c r="G312" s="21">
        <v>1</v>
      </c>
      <c r="H312" s="21">
        <v>0</v>
      </c>
      <c r="I312" s="21">
        <f t="shared" si="254"/>
        <v>0</v>
      </c>
      <c r="J312" s="21">
        <f t="shared" si="255"/>
        <v>0</v>
      </c>
      <c r="K312" s="21">
        <f t="shared" si="256"/>
        <v>0</v>
      </c>
      <c r="L312" s="21">
        <v>0</v>
      </c>
      <c r="M312" s="21">
        <f t="shared" si="257"/>
        <v>0</v>
      </c>
      <c r="N312" s="35"/>
      <c r="O312" s="39"/>
      <c r="U312" s="41">
        <f t="shared" si="258"/>
        <v>0</v>
      </c>
      <c r="W312" s="41">
        <f t="shared" si="259"/>
        <v>0</v>
      </c>
      <c r="X312" s="41">
        <f t="shared" si="260"/>
        <v>0</v>
      </c>
      <c r="Y312" s="41">
        <f t="shared" si="261"/>
        <v>0</v>
      </c>
      <c r="Z312" s="41">
        <f t="shared" si="262"/>
        <v>0</v>
      </c>
      <c r="AA312" s="41">
        <f t="shared" si="263"/>
        <v>0</v>
      </c>
      <c r="AB312" s="41">
        <f t="shared" si="264"/>
        <v>0</v>
      </c>
      <c r="AC312" s="41">
        <f t="shared" si="265"/>
        <v>0</v>
      </c>
      <c r="AD312" s="31"/>
      <c r="AE312" s="21">
        <f t="shared" si="266"/>
        <v>0</v>
      </c>
      <c r="AF312" s="21">
        <f t="shared" si="267"/>
        <v>0</v>
      </c>
      <c r="AG312" s="21">
        <f t="shared" si="268"/>
        <v>0</v>
      </c>
      <c r="AI312" s="41">
        <v>21</v>
      </c>
      <c r="AJ312" s="41">
        <f t="shared" si="269"/>
        <v>0</v>
      </c>
      <c r="AK312" s="41">
        <f t="shared" si="270"/>
        <v>0</v>
      </c>
      <c r="AL312" s="42" t="s">
        <v>13</v>
      </c>
      <c r="AQ312" s="41">
        <f t="shared" si="271"/>
        <v>0</v>
      </c>
      <c r="AR312" s="41">
        <f t="shared" si="272"/>
        <v>0</v>
      </c>
      <c r="AS312" s="41">
        <f t="shared" si="273"/>
        <v>0</v>
      </c>
      <c r="AT312" s="44" t="s">
        <v>2438</v>
      </c>
      <c r="AU312" s="44" t="s">
        <v>2480</v>
      </c>
      <c r="AV312" s="31" t="s">
        <v>2486</v>
      </c>
      <c r="AX312" s="41">
        <f t="shared" si="274"/>
        <v>0</v>
      </c>
      <c r="AY312" s="41">
        <f t="shared" si="275"/>
        <v>0</v>
      </c>
      <c r="AZ312" s="41">
        <v>0</v>
      </c>
      <c r="BA312" s="41">
        <f t="shared" si="276"/>
        <v>0</v>
      </c>
      <c r="BC312" s="21">
        <f t="shared" si="277"/>
        <v>0</v>
      </c>
      <c r="BD312" s="21">
        <f t="shared" si="278"/>
        <v>0</v>
      </c>
      <c r="BE312" s="21">
        <f t="shared" si="279"/>
        <v>0</v>
      </c>
      <c r="BF312" s="21" t="s">
        <v>2492</v>
      </c>
      <c r="BG312" s="41">
        <v>728</v>
      </c>
    </row>
    <row r="313" spans="1:59" x14ac:dyDescent="0.3">
      <c r="A313" s="4" t="s">
        <v>297</v>
      </c>
      <c r="B313" s="13"/>
      <c r="C313" s="13" t="s">
        <v>1136</v>
      </c>
      <c r="D313" s="101" t="s">
        <v>1814</v>
      </c>
      <c r="E313" s="102"/>
      <c r="F313" s="13" t="s">
        <v>2384</v>
      </c>
      <c r="G313" s="21">
        <v>1</v>
      </c>
      <c r="H313" s="21">
        <v>0</v>
      </c>
      <c r="I313" s="21">
        <f t="shared" si="254"/>
        <v>0</v>
      </c>
      <c r="J313" s="21">
        <f t="shared" si="255"/>
        <v>0</v>
      </c>
      <c r="K313" s="21">
        <f t="shared" si="256"/>
        <v>0</v>
      </c>
      <c r="L313" s="21">
        <v>0</v>
      </c>
      <c r="M313" s="21">
        <f t="shared" si="257"/>
        <v>0</v>
      </c>
      <c r="N313" s="35"/>
      <c r="O313" s="39"/>
      <c r="U313" s="41">
        <f t="shared" si="258"/>
        <v>0</v>
      </c>
      <c r="W313" s="41">
        <f t="shared" si="259"/>
        <v>0</v>
      </c>
      <c r="X313" s="41">
        <f t="shared" si="260"/>
        <v>0</v>
      </c>
      <c r="Y313" s="41">
        <f t="shared" si="261"/>
        <v>0</v>
      </c>
      <c r="Z313" s="41">
        <f t="shared" si="262"/>
        <v>0</v>
      </c>
      <c r="AA313" s="41">
        <f t="shared" si="263"/>
        <v>0</v>
      </c>
      <c r="AB313" s="41">
        <f t="shared" si="264"/>
        <v>0</v>
      </c>
      <c r="AC313" s="41">
        <f t="shared" si="265"/>
        <v>0</v>
      </c>
      <c r="AD313" s="31"/>
      <c r="AE313" s="21">
        <f t="shared" si="266"/>
        <v>0</v>
      </c>
      <c r="AF313" s="21">
        <f t="shared" si="267"/>
        <v>0</v>
      </c>
      <c r="AG313" s="21">
        <f t="shared" si="268"/>
        <v>0</v>
      </c>
      <c r="AI313" s="41">
        <v>21</v>
      </c>
      <c r="AJ313" s="41">
        <f t="shared" si="269"/>
        <v>0</v>
      </c>
      <c r="AK313" s="41">
        <f t="shared" si="270"/>
        <v>0</v>
      </c>
      <c r="AL313" s="42" t="s">
        <v>13</v>
      </c>
      <c r="AQ313" s="41">
        <f t="shared" si="271"/>
        <v>0</v>
      </c>
      <c r="AR313" s="41">
        <f t="shared" si="272"/>
        <v>0</v>
      </c>
      <c r="AS313" s="41">
        <f t="shared" si="273"/>
        <v>0</v>
      </c>
      <c r="AT313" s="44" t="s">
        <v>2438</v>
      </c>
      <c r="AU313" s="44" t="s">
        <v>2480</v>
      </c>
      <c r="AV313" s="31" t="s">
        <v>2486</v>
      </c>
      <c r="AX313" s="41">
        <f t="shared" si="274"/>
        <v>0</v>
      </c>
      <c r="AY313" s="41">
        <f t="shared" si="275"/>
        <v>0</v>
      </c>
      <c r="AZ313" s="41">
        <v>0</v>
      </c>
      <c r="BA313" s="41">
        <f t="shared" si="276"/>
        <v>0</v>
      </c>
      <c r="BC313" s="21">
        <f t="shared" si="277"/>
        <v>0</v>
      </c>
      <c r="BD313" s="21">
        <f t="shared" si="278"/>
        <v>0</v>
      </c>
      <c r="BE313" s="21">
        <f t="shared" si="279"/>
        <v>0</v>
      </c>
      <c r="BF313" s="21" t="s">
        <v>2492</v>
      </c>
      <c r="BG313" s="41">
        <v>728</v>
      </c>
    </row>
    <row r="314" spans="1:59" x14ac:dyDescent="0.3">
      <c r="A314" s="4" t="s">
        <v>298</v>
      </c>
      <c r="B314" s="13"/>
      <c r="C314" s="13" t="s">
        <v>1136</v>
      </c>
      <c r="D314" s="101" t="s">
        <v>1859</v>
      </c>
      <c r="E314" s="102"/>
      <c r="F314" s="13" t="s">
        <v>2384</v>
      </c>
      <c r="G314" s="21">
        <v>1</v>
      </c>
      <c r="H314" s="21">
        <v>0</v>
      </c>
      <c r="I314" s="21">
        <f t="shared" si="254"/>
        <v>0</v>
      </c>
      <c r="J314" s="21">
        <f t="shared" si="255"/>
        <v>0</v>
      </c>
      <c r="K314" s="21">
        <f t="shared" si="256"/>
        <v>0</v>
      </c>
      <c r="L314" s="21">
        <v>0</v>
      </c>
      <c r="M314" s="21">
        <f t="shared" si="257"/>
        <v>0</v>
      </c>
      <c r="N314" s="35"/>
      <c r="O314" s="39"/>
      <c r="U314" s="41">
        <f t="shared" si="258"/>
        <v>0</v>
      </c>
      <c r="W314" s="41">
        <f t="shared" si="259"/>
        <v>0</v>
      </c>
      <c r="X314" s="41">
        <f t="shared" si="260"/>
        <v>0</v>
      </c>
      <c r="Y314" s="41">
        <f t="shared" si="261"/>
        <v>0</v>
      </c>
      <c r="Z314" s="41">
        <f t="shared" si="262"/>
        <v>0</v>
      </c>
      <c r="AA314" s="41">
        <f t="shared" si="263"/>
        <v>0</v>
      </c>
      <c r="AB314" s="41">
        <f t="shared" si="264"/>
        <v>0</v>
      </c>
      <c r="AC314" s="41">
        <f t="shared" si="265"/>
        <v>0</v>
      </c>
      <c r="AD314" s="31"/>
      <c r="AE314" s="21">
        <f t="shared" si="266"/>
        <v>0</v>
      </c>
      <c r="AF314" s="21">
        <f t="shared" si="267"/>
        <v>0</v>
      </c>
      <c r="AG314" s="21">
        <f t="shared" si="268"/>
        <v>0</v>
      </c>
      <c r="AI314" s="41">
        <v>21</v>
      </c>
      <c r="AJ314" s="41">
        <f t="shared" si="269"/>
        <v>0</v>
      </c>
      <c r="AK314" s="41">
        <f t="shared" si="270"/>
        <v>0</v>
      </c>
      <c r="AL314" s="42" t="s">
        <v>13</v>
      </c>
      <c r="AQ314" s="41">
        <f t="shared" si="271"/>
        <v>0</v>
      </c>
      <c r="AR314" s="41">
        <f t="shared" si="272"/>
        <v>0</v>
      </c>
      <c r="AS314" s="41">
        <f t="shared" si="273"/>
        <v>0</v>
      </c>
      <c r="AT314" s="44" t="s">
        <v>2438</v>
      </c>
      <c r="AU314" s="44" t="s">
        <v>2480</v>
      </c>
      <c r="AV314" s="31" t="s">
        <v>2486</v>
      </c>
      <c r="AX314" s="41">
        <f t="shared" si="274"/>
        <v>0</v>
      </c>
      <c r="AY314" s="41">
        <f t="shared" si="275"/>
        <v>0</v>
      </c>
      <c r="AZ314" s="41">
        <v>0</v>
      </c>
      <c r="BA314" s="41">
        <f t="shared" si="276"/>
        <v>0</v>
      </c>
      <c r="BC314" s="21">
        <f t="shared" si="277"/>
        <v>0</v>
      </c>
      <c r="BD314" s="21">
        <f t="shared" si="278"/>
        <v>0</v>
      </c>
      <c r="BE314" s="21">
        <f t="shared" si="279"/>
        <v>0</v>
      </c>
      <c r="BF314" s="21" t="s">
        <v>2492</v>
      </c>
      <c r="BG314" s="41">
        <v>728</v>
      </c>
    </row>
    <row r="315" spans="1:59" x14ac:dyDescent="0.3">
      <c r="A315" s="4" t="s">
        <v>299</v>
      </c>
      <c r="B315" s="13"/>
      <c r="C315" s="13" t="s">
        <v>1136</v>
      </c>
      <c r="D315" s="101" t="s">
        <v>1859</v>
      </c>
      <c r="E315" s="102"/>
      <c r="F315" s="13" t="s">
        <v>2384</v>
      </c>
      <c r="G315" s="21">
        <v>2</v>
      </c>
      <c r="H315" s="21">
        <v>0</v>
      </c>
      <c r="I315" s="21">
        <f t="shared" si="254"/>
        <v>0</v>
      </c>
      <c r="J315" s="21">
        <f t="shared" si="255"/>
        <v>0</v>
      </c>
      <c r="K315" s="21">
        <f t="shared" si="256"/>
        <v>0</v>
      </c>
      <c r="L315" s="21">
        <v>0</v>
      </c>
      <c r="M315" s="21">
        <f t="shared" si="257"/>
        <v>0</v>
      </c>
      <c r="N315" s="35"/>
      <c r="O315" s="39"/>
      <c r="U315" s="41">
        <f t="shared" si="258"/>
        <v>0</v>
      </c>
      <c r="W315" s="41">
        <f t="shared" si="259"/>
        <v>0</v>
      </c>
      <c r="X315" s="41">
        <f t="shared" si="260"/>
        <v>0</v>
      </c>
      <c r="Y315" s="41">
        <f t="shared" si="261"/>
        <v>0</v>
      </c>
      <c r="Z315" s="41">
        <f t="shared" si="262"/>
        <v>0</v>
      </c>
      <c r="AA315" s="41">
        <f t="shared" si="263"/>
        <v>0</v>
      </c>
      <c r="AB315" s="41">
        <f t="shared" si="264"/>
        <v>0</v>
      </c>
      <c r="AC315" s="41">
        <f t="shared" si="265"/>
        <v>0</v>
      </c>
      <c r="AD315" s="31"/>
      <c r="AE315" s="21">
        <f t="shared" si="266"/>
        <v>0</v>
      </c>
      <c r="AF315" s="21">
        <f t="shared" si="267"/>
        <v>0</v>
      </c>
      <c r="AG315" s="21">
        <f t="shared" si="268"/>
        <v>0</v>
      </c>
      <c r="AI315" s="41">
        <v>21</v>
      </c>
      <c r="AJ315" s="41">
        <f t="shared" si="269"/>
        <v>0</v>
      </c>
      <c r="AK315" s="41">
        <f t="shared" si="270"/>
        <v>0</v>
      </c>
      <c r="AL315" s="42" t="s">
        <v>13</v>
      </c>
      <c r="AQ315" s="41">
        <f t="shared" si="271"/>
        <v>0</v>
      </c>
      <c r="AR315" s="41">
        <f t="shared" si="272"/>
        <v>0</v>
      </c>
      <c r="AS315" s="41">
        <f t="shared" si="273"/>
        <v>0</v>
      </c>
      <c r="AT315" s="44" t="s">
        <v>2438</v>
      </c>
      <c r="AU315" s="44" t="s">
        <v>2480</v>
      </c>
      <c r="AV315" s="31" t="s">
        <v>2486</v>
      </c>
      <c r="AX315" s="41">
        <f t="shared" si="274"/>
        <v>0</v>
      </c>
      <c r="AY315" s="41">
        <f t="shared" si="275"/>
        <v>0</v>
      </c>
      <c r="AZ315" s="41">
        <v>0</v>
      </c>
      <c r="BA315" s="41">
        <f t="shared" si="276"/>
        <v>0</v>
      </c>
      <c r="BC315" s="21">
        <f t="shared" si="277"/>
        <v>0</v>
      </c>
      <c r="BD315" s="21">
        <f t="shared" si="278"/>
        <v>0</v>
      </c>
      <c r="BE315" s="21">
        <f t="shared" si="279"/>
        <v>0</v>
      </c>
      <c r="BF315" s="21" t="s">
        <v>2492</v>
      </c>
      <c r="BG315" s="41">
        <v>728</v>
      </c>
    </row>
    <row r="316" spans="1:59" x14ac:dyDescent="0.3">
      <c r="A316" s="4" t="s">
        <v>300</v>
      </c>
      <c r="B316" s="13"/>
      <c r="C316" s="13" t="s">
        <v>1136</v>
      </c>
      <c r="D316" s="101" t="s">
        <v>1816</v>
      </c>
      <c r="E316" s="102"/>
      <c r="F316" s="13" t="s">
        <v>2384</v>
      </c>
      <c r="G316" s="21">
        <v>1</v>
      </c>
      <c r="H316" s="21">
        <v>0</v>
      </c>
      <c r="I316" s="21">
        <f t="shared" si="254"/>
        <v>0</v>
      </c>
      <c r="J316" s="21">
        <f t="shared" si="255"/>
        <v>0</v>
      </c>
      <c r="K316" s="21">
        <f t="shared" si="256"/>
        <v>0</v>
      </c>
      <c r="L316" s="21">
        <v>0</v>
      </c>
      <c r="M316" s="21">
        <f t="shared" si="257"/>
        <v>0</v>
      </c>
      <c r="N316" s="35"/>
      <c r="O316" s="39"/>
      <c r="U316" s="41">
        <f t="shared" si="258"/>
        <v>0</v>
      </c>
      <c r="W316" s="41">
        <f t="shared" si="259"/>
        <v>0</v>
      </c>
      <c r="X316" s="41">
        <f t="shared" si="260"/>
        <v>0</v>
      </c>
      <c r="Y316" s="41">
        <f t="shared" si="261"/>
        <v>0</v>
      </c>
      <c r="Z316" s="41">
        <f t="shared" si="262"/>
        <v>0</v>
      </c>
      <c r="AA316" s="41">
        <f t="shared" si="263"/>
        <v>0</v>
      </c>
      <c r="AB316" s="41">
        <f t="shared" si="264"/>
        <v>0</v>
      </c>
      <c r="AC316" s="41">
        <f t="shared" si="265"/>
        <v>0</v>
      </c>
      <c r="AD316" s="31"/>
      <c r="AE316" s="21">
        <f t="shared" si="266"/>
        <v>0</v>
      </c>
      <c r="AF316" s="21">
        <f t="shared" si="267"/>
        <v>0</v>
      </c>
      <c r="AG316" s="21">
        <f t="shared" si="268"/>
        <v>0</v>
      </c>
      <c r="AI316" s="41">
        <v>21</v>
      </c>
      <c r="AJ316" s="41">
        <f t="shared" si="269"/>
        <v>0</v>
      </c>
      <c r="AK316" s="41">
        <f t="shared" si="270"/>
        <v>0</v>
      </c>
      <c r="AL316" s="42" t="s">
        <v>13</v>
      </c>
      <c r="AQ316" s="41">
        <f t="shared" si="271"/>
        <v>0</v>
      </c>
      <c r="AR316" s="41">
        <f t="shared" si="272"/>
        <v>0</v>
      </c>
      <c r="AS316" s="41">
        <f t="shared" si="273"/>
        <v>0</v>
      </c>
      <c r="AT316" s="44" t="s">
        <v>2438</v>
      </c>
      <c r="AU316" s="44" t="s">
        <v>2480</v>
      </c>
      <c r="AV316" s="31" t="s">
        <v>2486</v>
      </c>
      <c r="AX316" s="41">
        <f t="shared" si="274"/>
        <v>0</v>
      </c>
      <c r="AY316" s="41">
        <f t="shared" si="275"/>
        <v>0</v>
      </c>
      <c r="AZ316" s="41">
        <v>0</v>
      </c>
      <c r="BA316" s="41">
        <f t="shared" si="276"/>
        <v>0</v>
      </c>
      <c r="BC316" s="21">
        <f t="shared" si="277"/>
        <v>0</v>
      </c>
      <c r="BD316" s="21">
        <f t="shared" si="278"/>
        <v>0</v>
      </c>
      <c r="BE316" s="21">
        <f t="shared" si="279"/>
        <v>0</v>
      </c>
      <c r="BF316" s="21" t="s">
        <v>2492</v>
      </c>
      <c r="BG316" s="41">
        <v>728</v>
      </c>
    </row>
    <row r="317" spans="1:59" x14ac:dyDescent="0.3">
      <c r="A317" s="4" t="s">
        <v>301</v>
      </c>
      <c r="B317" s="13"/>
      <c r="C317" s="13" t="s">
        <v>1136</v>
      </c>
      <c r="D317" s="101" t="s">
        <v>1816</v>
      </c>
      <c r="E317" s="102"/>
      <c r="F317" s="13" t="s">
        <v>2384</v>
      </c>
      <c r="G317" s="21">
        <v>7</v>
      </c>
      <c r="H317" s="21">
        <v>0</v>
      </c>
      <c r="I317" s="21">
        <f t="shared" si="254"/>
        <v>0</v>
      </c>
      <c r="J317" s="21">
        <f t="shared" si="255"/>
        <v>0</v>
      </c>
      <c r="K317" s="21">
        <f t="shared" si="256"/>
        <v>0</v>
      </c>
      <c r="L317" s="21">
        <v>0</v>
      </c>
      <c r="M317" s="21">
        <f t="shared" si="257"/>
        <v>0</v>
      </c>
      <c r="N317" s="35"/>
      <c r="O317" s="39"/>
      <c r="U317" s="41">
        <f t="shared" si="258"/>
        <v>0</v>
      </c>
      <c r="W317" s="41">
        <f t="shared" si="259"/>
        <v>0</v>
      </c>
      <c r="X317" s="41">
        <f t="shared" si="260"/>
        <v>0</v>
      </c>
      <c r="Y317" s="41">
        <f t="shared" si="261"/>
        <v>0</v>
      </c>
      <c r="Z317" s="41">
        <f t="shared" si="262"/>
        <v>0</v>
      </c>
      <c r="AA317" s="41">
        <f t="shared" si="263"/>
        <v>0</v>
      </c>
      <c r="AB317" s="41">
        <f t="shared" si="264"/>
        <v>0</v>
      </c>
      <c r="AC317" s="41">
        <f t="shared" si="265"/>
        <v>0</v>
      </c>
      <c r="AD317" s="31"/>
      <c r="AE317" s="21">
        <f t="shared" si="266"/>
        <v>0</v>
      </c>
      <c r="AF317" s="21">
        <f t="shared" si="267"/>
        <v>0</v>
      </c>
      <c r="AG317" s="21">
        <f t="shared" si="268"/>
        <v>0</v>
      </c>
      <c r="AI317" s="41">
        <v>21</v>
      </c>
      <c r="AJ317" s="41">
        <f t="shared" si="269"/>
        <v>0</v>
      </c>
      <c r="AK317" s="41">
        <f t="shared" si="270"/>
        <v>0</v>
      </c>
      <c r="AL317" s="42" t="s">
        <v>13</v>
      </c>
      <c r="AQ317" s="41">
        <f t="shared" si="271"/>
        <v>0</v>
      </c>
      <c r="AR317" s="41">
        <f t="shared" si="272"/>
        <v>0</v>
      </c>
      <c r="AS317" s="41">
        <f t="shared" si="273"/>
        <v>0</v>
      </c>
      <c r="AT317" s="44" t="s">
        <v>2438</v>
      </c>
      <c r="AU317" s="44" t="s">
        <v>2480</v>
      </c>
      <c r="AV317" s="31" t="s">
        <v>2486</v>
      </c>
      <c r="AX317" s="41">
        <f t="shared" si="274"/>
        <v>0</v>
      </c>
      <c r="AY317" s="41">
        <f t="shared" si="275"/>
        <v>0</v>
      </c>
      <c r="AZ317" s="41">
        <v>0</v>
      </c>
      <c r="BA317" s="41">
        <f t="shared" si="276"/>
        <v>0</v>
      </c>
      <c r="BC317" s="21">
        <f t="shared" si="277"/>
        <v>0</v>
      </c>
      <c r="BD317" s="21">
        <f t="shared" si="278"/>
        <v>0</v>
      </c>
      <c r="BE317" s="21">
        <f t="shared" si="279"/>
        <v>0</v>
      </c>
      <c r="BF317" s="21" t="s">
        <v>2492</v>
      </c>
      <c r="BG317" s="41">
        <v>728</v>
      </c>
    </row>
    <row r="318" spans="1:59" x14ac:dyDescent="0.3">
      <c r="A318" s="4" t="s">
        <v>302</v>
      </c>
      <c r="B318" s="13"/>
      <c r="C318" s="13" t="s">
        <v>1136</v>
      </c>
      <c r="D318" s="101" t="s">
        <v>1816</v>
      </c>
      <c r="E318" s="102"/>
      <c r="F318" s="13" t="s">
        <v>2384</v>
      </c>
      <c r="G318" s="21">
        <v>2</v>
      </c>
      <c r="H318" s="21">
        <v>0</v>
      </c>
      <c r="I318" s="21">
        <f t="shared" si="254"/>
        <v>0</v>
      </c>
      <c r="J318" s="21">
        <f t="shared" si="255"/>
        <v>0</v>
      </c>
      <c r="K318" s="21">
        <f t="shared" si="256"/>
        <v>0</v>
      </c>
      <c r="L318" s="21">
        <v>0</v>
      </c>
      <c r="M318" s="21">
        <f t="shared" si="257"/>
        <v>0</v>
      </c>
      <c r="N318" s="35"/>
      <c r="O318" s="39"/>
      <c r="U318" s="41">
        <f t="shared" si="258"/>
        <v>0</v>
      </c>
      <c r="W318" s="41">
        <f t="shared" si="259"/>
        <v>0</v>
      </c>
      <c r="X318" s="41">
        <f t="shared" si="260"/>
        <v>0</v>
      </c>
      <c r="Y318" s="41">
        <f t="shared" si="261"/>
        <v>0</v>
      </c>
      <c r="Z318" s="41">
        <f t="shared" si="262"/>
        <v>0</v>
      </c>
      <c r="AA318" s="41">
        <f t="shared" si="263"/>
        <v>0</v>
      </c>
      <c r="AB318" s="41">
        <f t="shared" si="264"/>
        <v>0</v>
      </c>
      <c r="AC318" s="41">
        <f t="shared" si="265"/>
        <v>0</v>
      </c>
      <c r="AD318" s="31"/>
      <c r="AE318" s="21">
        <f t="shared" si="266"/>
        <v>0</v>
      </c>
      <c r="AF318" s="21">
        <f t="shared" si="267"/>
        <v>0</v>
      </c>
      <c r="AG318" s="21">
        <f t="shared" si="268"/>
        <v>0</v>
      </c>
      <c r="AI318" s="41">
        <v>21</v>
      </c>
      <c r="AJ318" s="41">
        <f t="shared" si="269"/>
        <v>0</v>
      </c>
      <c r="AK318" s="41">
        <f t="shared" si="270"/>
        <v>0</v>
      </c>
      <c r="AL318" s="42" t="s">
        <v>13</v>
      </c>
      <c r="AQ318" s="41">
        <f t="shared" si="271"/>
        <v>0</v>
      </c>
      <c r="AR318" s="41">
        <f t="shared" si="272"/>
        <v>0</v>
      </c>
      <c r="AS318" s="41">
        <f t="shared" si="273"/>
        <v>0</v>
      </c>
      <c r="AT318" s="44" t="s">
        <v>2438</v>
      </c>
      <c r="AU318" s="44" t="s">
        <v>2480</v>
      </c>
      <c r="AV318" s="31" t="s">
        <v>2486</v>
      </c>
      <c r="AX318" s="41">
        <f t="shared" si="274"/>
        <v>0</v>
      </c>
      <c r="AY318" s="41">
        <f t="shared" si="275"/>
        <v>0</v>
      </c>
      <c r="AZ318" s="41">
        <v>0</v>
      </c>
      <c r="BA318" s="41">
        <f t="shared" si="276"/>
        <v>0</v>
      </c>
      <c r="BC318" s="21">
        <f t="shared" si="277"/>
        <v>0</v>
      </c>
      <c r="BD318" s="21">
        <f t="shared" si="278"/>
        <v>0</v>
      </c>
      <c r="BE318" s="21">
        <f t="shared" si="279"/>
        <v>0</v>
      </c>
      <c r="BF318" s="21" t="s">
        <v>2492</v>
      </c>
      <c r="BG318" s="41">
        <v>728</v>
      </c>
    </row>
    <row r="319" spans="1:59" x14ac:dyDescent="0.3">
      <c r="A319" s="4" t="s">
        <v>303</v>
      </c>
      <c r="B319" s="13"/>
      <c r="C319" s="13" t="s">
        <v>1136</v>
      </c>
      <c r="D319" s="101" t="s">
        <v>1845</v>
      </c>
      <c r="E319" s="102"/>
      <c r="F319" s="13" t="s">
        <v>2384</v>
      </c>
      <c r="G319" s="21">
        <v>1</v>
      </c>
      <c r="H319" s="21">
        <v>0</v>
      </c>
      <c r="I319" s="21">
        <f t="shared" si="254"/>
        <v>0</v>
      </c>
      <c r="J319" s="21">
        <f t="shared" si="255"/>
        <v>0</v>
      </c>
      <c r="K319" s="21">
        <f t="shared" si="256"/>
        <v>0</v>
      </c>
      <c r="L319" s="21">
        <v>0</v>
      </c>
      <c r="M319" s="21">
        <f t="shared" si="257"/>
        <v>0</v>
      </c>
      <c r="N319" s="35"/>
      <c r="O319" s="39"/>
      <c r="U319" s="41">
        <f t="shared" si="258"/>
        <v>0</v>
      </c>
      <c r="W319" s="41">
        <f t="shared" si="259"/>
        <v>0</v>
      </c>
      <c r="X319" s="41">
        <f t="shared" si="260"/>
        <v>0</v>
      </c>
      <c r="Y319" s="41">
        <f t="shared" si="261"/>
        <v>0</v>
      </c>
      <c r="Z319" s="41">
        <f t="shared" si="262"/>
        <v>0</v>
      </c>
      <c r="AA319" s="41">
        <f t="shared" si="263"/>
        <v>0</v>
      </c>
      <c r="AB319" s="41">
        <f t="shared" si="264"/>
        <v>0</v>
      </c>
      <c r="AC319" s="41">
        <f t="shared" si="265"/>
        <v>0</v>
      </c>
      <c r="AD319" s="31"/>
      <c r="AE319" s="21">
        <f t="shared" si="266"/>
        <v>0</v>
      </c>
      <c r="AF319" s="21">
        <f t="shared" si="267"/>
        <v>0</v>
      </c>
      <c r="AG319" s="21">
        <f t="shared" si="268"/>
        <v>0</v>
      </c>
      <c r="AI319" s="41">
        <v>21</v>
      </c>
      <c r="AJ319" s="41">
        <f t="shared" si="269"/>
        <v>0</v>
      </c>
      <c r="AK319" s="41">
        <f t="shared" si="270"/>
        <v>0</v>
      </c>
      <c r="AL319" s="42" t="s">
        <v>13</v>
      </c>
      <c r="AQ319" s="41">
        <f t="shared" si="271"/>
        <v>0</v>
      </c>
      <c r="AR319" s="41">
        <f t="shared" si="272"/>
        <v>0</v>
      </c>
      <c r="AS319" s="41">
        <f t="shared" si="273"/>
        <v>0</v>
      </c>
      <c r="AT319" s="44" t="s">
        <v>2438</v>
      </c>
      <c r="AU319" s="44" t="s">
        <v>2480</v>
      </c>
      <c r="AV319" s="31" t="s">
        <v>2486</v>
      </c>
      <c r="AX319" s="41">
        <f t="shared" si="274"/>
        <v>0</v>
      </c>
      <c r="AY319" s="41">
        <f t="shared" si="275"/>
        <v>0</v>
      </c>
      <c r="AZ319" s="41">
        <v>0</v>
      </c>
      <c r="BA319" s="41">
        <f t="shared" si="276"/>
        <v>0</v>
      </c>
      <c r="BC319" s="21">
        <f t="shared" si="277"/>
        <v>0</v>
      </c>
      <c r="BD319" s="21">
        <f t="shared" si="278"/>
        <v>0</v>
      </c>
      <c r="BE319" s="21">
        <f t="shared" si="279"/>
        <v>0</v>
      </c>
      <c r="BF319" s="21" t="s">
        <v>2492</v>
      </c>
      <c r="BG319" s="41">
        <v>728</v>
      </c>
    </row>
    <row r="320" spans="1:59" x14ac:dyDescent="0.3">
      <c r="A320" s="4" t="s">
        <v>304</v>
      </c>
      <c r="B320" s="13"/>
      <c r="C320" s="13" t="s">
        <v>1136</v>
      </c>
      <c r="D320" s="101" t="s">
        <v>1823</v>
      </c>
      <c r="E320" s="102"/>
      <c r="F320" s="13" t="s">
        <v>2384</v>
      </c>
      <c r="G320" s="21">
        <v>1</v>
      </c>
      <c r="H320" s="21">
        <v>0</v>
      </c>
      <c r="I320" s="21">
        <f t="shared" ref="I320:I351" si="280">G320*AJ320</f>
        <v>0</v>
      </c>
      <c r="J320" s="21">
        <f t="shared" ref="J320:J351" si="281">G320*AK320</f>
        <v>0</v>
      </c>
      <c r="K320" s="21">
        <f t="shared" ref="K320:K351" si="282">G320*H320</f>
        <v>0</v>
      </c>
      <c r="L320" s="21">
        <v>0</v>
      </c>
      <c r="M320" s="21">
        <f t="shared" ref="M320:M351" si="283">G320*L320</f>
        <v>0</v>
      </c>
      <c r="N320" s="35"/>
      <c r="O320" s="39"/>
      <c r="U320" s="41">
        <f t="shared" ref="U320:U351" si="284">IF(AL320="5",BE320,0)</f>
        <v>0</v>
      </c>
      <c r="W320" s="41">
        <f t="shared" ref="W320:W351" si="285">IF(AL320="1",BC320,0)</f>
        <v>0</v>
      </c>
      <c r="X320" s="41">
        <f t="shared" ref="X320:X351" si="286">IF(AL320="1",BD320,0)</f>
        <v>0</v>
      </c>
      <c r="Y320" s="41">
        <f t="shared" ref="Y320:Y351" si="287">IF(AL320="7",BC320,0)</f>
        <v>0</v>
      </c>
      <c r="Z320" s="41">
        <f t="shared" ref="Z320:Z351" si="288">IF(AL320="7",BD320,0)</f>
        <v>0</v>
      </c>
      <c r="AA320" s="41">
        <f t="shared" ref="AA320:AA351" si="289">IF(AL320="2",BC320,0)</f>
        <v>0</v>
      </c>
      <c r="AB320" s="41">
        <f t="shared" ref="AB320:AB351" si="290">IF(AL320="2",BD320,0)</f>
        <v>0</v>
      </c>
      <c r="AC320" s="41">
        <f t="shared" ref="AC320:AC351" si="291">IF(AL320="0",BE320,0)</f>
        <v>0</v>
      </c>
      <c r="AD320" s="31"/>
      <c r="AE320" s="21">
        <f t="shared" ref="AE320:AE351" si="292">IF(AI320=0,K320,0)</f>
        <v>0</v>
      </c>
      <c r="AF320" s="21">
        <f t="shared" ref="AF320:AF351" si="293">IF(AI320=15,K320,0)</f>
        <v>0</v>
      </c>
      <c r="AG320" s="21">
        <f t="shared" ref="AG320:AG351" si="294">IF(AI320=21,K320,0)</f>
        <v>0</v>
      </c>
      <c r="AI320" s="41">
        <v>21</v>
      </c>
      <c r="AJ320" s="41">
        <f t="shared" ref="AJ320:AJ351" si="295">H320*0</f>
        <v>0</v>
      </c>
      <c r="AK320" s="41">
        <f t="shared" ref="AK320:AK351" si="296">H320*(1-0)</f>
        <v>0</v>
      </c>
      <c r="AL320" s="42" t="s">
        <v>13</v>
      </c>
      <c r="AQ320" s="41">
        <f t="shared" ref="AQ320:AQ351" si="297">AR320+AS320</f>
        <v>0</v>
      </c>
      <c r="AR320" s="41">
        <f t="shared" ref="AR320:AR351" si="298">G320*AJ320</f>
        <v>0</v>
      </c>
      <c r="AS320" s="41">
        <f t="shared" ref="AS320:AS351" si="299">G320*AK320</f>
        <v>0</v>
      </c>
      <c r="AT320" s="44" t="s">
        <v>2438</v>
      </c>
      <c r="AU320" s="44" t="s">
        <v>2480</v>
      </c>
      <c r="AV320" s="31" t="s">
        <v>2486</v>
      </c>
      <c r="AX320" s="41">
        <f t="shared" ref="AX320:AX351" si="300">AR320+AS320</f>
        <v>0</v>
      </c>
      <c r="AY320" s="41">
        <f t="shared" ref="AY320:AY351" si="301">H320/(100-AZ320)*100</f>
        <v>0</v>
      </c>
      <c r="AZ320" s="41">
        <v>0</v>
      </c>
      <c r="BA320" s="41">
        <f t="shared" ref="BA320:BA351" si="302">M320</f>
        <v>0</v>
      </c>
      <c r="BC320" s="21">
        <f t="shared" ref="BC320:BC351" si="303">G320*AJ320</f>
        <v>0</v>
      </c>
      <c r="BD320" s="21">
        <f t="shared" ref="BD320:BD351" si="304">G320*AK320</f>
        <v>0</v>
      </c>
      <c r="BE320" s="21">
        <f t="shared" ref="BE320:BE351" si="305">G320*H320</f>
        <v>0</v>
      </c>
      <c r="BF320" s="21" t="s">
        <v>2492</v>
      </c>
      <c r="BG320" s="41">
        <v>728</v>
      </c>
    </row>
    <row r="321" spans="1:59" x14ac:dyDescent="0.3">
      <c r="A321" s="4" t="s">
        <v>305</v>
      </c>
      <c r="B321" s="13"/>
      <c r="C321" s="13" t="s">
        <v>1136</v>
      </c>
      <c r="D321" s="101" t="s">
        <v>1825</v>
      </c>
      <c r="E321" s="102"/>
      <c r="F321" s="13" t="s">
        <v>2384</v>
      </c>
      <c r="G321" s="21">
        <v>2</v>
      </c>
      <c r="H321" s="21">
        <v>0</v>
      </c>
      <c r="I321" s="21">
        <f t="shared" si="280"/>
        <v>0</v>
      </c>
      <c r="J321" s="21">
        <f t="shared" si="281"/>
        <v>0</v>
      </c>
      <c r="K321" s="21">
        <f t="shared" si="282"/>
        <v>0</v>
      </c>
      <c r="L321" s="21">
        <v>0</v>
      </c>
      <c r="M321" s="21">
        <f t="shared" si="283"/>
        <v>0</v>
      </c>
      <c r="N321" s="35"/>
      <c r="O321" s="39"/>
      <c r="U321" s="41">
        <f t="shared" si="284"/>
        <v>0</v>
      </c>
      <c r="W321" s="41">
        <f t="shared" si="285"/>
        <v>0</v>
      </c>
      <c r="X321" s="41">
        <f t="shared" si="286"/>
        <v>0</v>
      </c>
      <c r="Y321" s="41">
        <f t="shared" si="287"/>
        <v>0</v>
      </c>
      <c r="Z321" s="41">
        <f t="shared" si="288"/>
        <v>0</v>
      </c>
      <c r="AA321" s="41">
        <f t="shared" si="289"/>
        <v>0</v>
      </c>
      <c r="AB321" s="41">
        <f t="shared" si="290"/>
        <v>0</v>
      </c>
      <c r="AC321" s="41">
        <f t="shared" si="291"/>
        <v>0</v>
      </c>
      <c r="AD321" s="31"/>
      <c r="AE321" s="21">
        <f t="shared" si="292"/>
        <v>0</v>
      </c>
      <c r="AF321" s="21">
        <f t="shared" si="293"/>
        <v>0</v>
      </c>
      <c r="AG321" s="21">
        <f t="shared" si="294"/>
        <v>0</v>
      </c>
      <c r="AI321" s="41">
        <v>21</v>
      </c>
      <c r="AJ321" s="41">
        <f t="shared" si="295"/>
        <v>0</v>
      </c>
      <c r="AK321" s="41">
        <f t="shared" si="296"/>
        <v>0</v>
      </c>
      <c r="AL321" s="42" t="s">
        <v>13</v>
      </c>
      <c r="AQ321" s="41">
        <f t="shared" si="297"/>
        <v>0</v>
      </c>
      <c r="AR321" s="41">
        <f t="shared" si="298"/>
        <v>0</v>
      </c>
      <c r="AS321" s="41">
        <f t="shared" si="299"/>
        <v>0</v>
      </c>
      <c r="AT321" s="44" t="s">
        <v>2438</v>
      </c>
      <c r="AU321" s="44" t="s">
        <v>2480</v>
      </c>
      <c r="AV321" s="31" t="s">
        <v>2486</v>
      </c>
      <c r="AX321" s="41">
        <f t="shared" si="300"/>
        <v>0</v>
      </c>
      <c r="AY321" s="41">
        <f t="shared" si="301"/>
        <v>0</v>
      </c>
      <c r="AZ321" s="41">
        <v>0</v>
      </c>
      <c r="BA321" s="41">
        <f t="shared" si="302"/>
        <v>0</v>
      </c>
      <c r="BC321" s="21">
        <f t="shared" si="303"/>
        <v>0</v>
      </c>
      <c r="BD321" s="21">
        <f t="shared" si="304"/>
        <v>0</v>
      </c>
      <c r="BE321" s="21">
        <f t="shared" si="305"/>
        <v>0</v>
      </c>
      <c r="BF321" s="21" t="s">
        <v>2492</v>
      </c>
      <c r="BG321" s="41">
        <v>728</v>
      </c>
    </row>
    <row r="322" spans="1:59" x14ac:dyDescent="0.3">
      <c r="A322" s="4" t="s">
        <v>306</v>
      </c>
      <c r="B322" s="13"/>
      <c r="C322" s="13" t="s">
        <v>1136</v>
      </c>
      <c r="D322" s="101" t="s">
        <v>1823</v>
      </c>
      <c r="E322" s="102"/>
      <c r="F322" s="13" t="s">
        <v>2384</v>
      </c>
      <c r="G322" s="21">
        <v>1</v>
      </c>
      <c r="H322" s="21">
        <v>0</v>
      </c>
      <c r="I322" s="21">
        <f t="shared" si="280"/>
        <v>0</v>
      </c>
      <c r="J322" s="21">
        <f t="shared" si="281"/>
        <v>0</v>
      </c>
      <c r="K322" s="21">
        <f t="shared" si="282"/>
        <v>0</v>
      </c>
      <c r="L322" s="21">
        <v>0</v>
      </c>
      <c r="M322" s="21">
        <f t="shared" si="283"/>
        <v>0</v>
      </c>
      <c r="N322" s="35"/>
      <c r="O322" s="39"/>
      <c r="U322" s="41">
        <f t="shared" si="284"/>
        <v>0</v>
      </c>
      <c r="W322" s="41">
        <f t="shared" si="285"/>
        <v>0</v>
      </c>
      <c r="X322" s="41">
        <f t="shared" si="286"/>
        <v>0</v>
      </c>
      <c r="Y322" s="41">
        <f t="shared" si="287"/>
        <v>0</v>
      </c>
      <c r="Z322" s="41">
        <f t="shared" si="288"/>
        <v>0</v>
      </c>
      <c r="AA322" s="41">
        <f t="shared" si="289"/>
        <v>0</v>
      </c>
      <c r="AB322" s="41">
        <f t="shared" si="290"/>
        <v>0</v>
      </c>
      <c r="AC322" s="41">
        <f t="shared" si="291"/>
        <v>0</v>
      </c>
      <c r="AD322" s="31"/>
      <c r="AE322" s="21">
        <f t="shared" si="292"/>
        <v>0</v>
      </c>
      <c r="AF322" s="21">
        <f t="shared" si="293"/>
        <v>0</v>
      </c>
      <c r="AG322" s="21">
        <f t="shared" si="294"/>
        <v>0</v>
      </c>
      <c r="AI322" s="41">
        <v>21</v>
      </c>
      <c r="AJ322" s="41">
        <f t="shared" si="295"/>
        <v>0</v>
      </c>
      <c r="AK322" s="41">
        <f t="shared" si="296"/>
        <v>0</v>
      </c>
      <c r="AL322" s="42" t="s">
        <v>13</v>
      </c>
      <c r="AQ322" s="41">
        <f t="shared" si="297"/>
        <v>0</v>
      </c>
      <c r="AR322" s="41">
        <f t="shared" si="298"/>
        <v>0</v>
      </c>
      <c r="AS322" s="41">
        <f t="shared" si="299"/>
        <v>0</v>
      </c>
      <c r="AT322" s="44" t="s">
        <v>2438</v>
      </c>
      <c r="AU322" s="44" t="s">
        <v>2480</v>
      </c>
      <c r="AV322" s="31" t="s">
        <v>2486</v>
      </c>
      <c r="AX322" s="41">
        <f t="shared" si="300"/>
        <v>0</v>
      </c>
      <c r="AY322" s="41">
        <f t="shared" si="301"/>
        <v>0</v>
      </c>
      <c r="AZ322" s="41">
        <v>0</v>
      </c>
      <c r="BA322" s="41">
        <f t="shared" si="302"/>
        <v>0</v>
      </c>
      <c r="BC322" s="21">
        <f t="shared" si="303"/>
        <v>0</v>
      </c>
      <c r="BD322" s="21">
        <f t="shared" si="304"/>
        <v>0</v>
      </c>
      <c r="BE322" s="21">
        <f t="shared" si="305"/>
        <v>0</v>
      </c>
      <c r="BF322" s="21" t="s">
        <v>2492</v>
      </c>
      <c r="BG322" s="41">
        <v>728</v>
      </c>
    </row>
    <row r="323" spans="1:59" x14ac:dyDescent="0.3">
      <c r="A323" s="4" t="s">
        <v>307</v>
      </c>
      <c r="B323" s="13"/>
      <c r="C323" s="13" t="s">
        <v>1136</v>
      </c>
      <c r="D323" s="101" t="s">
        <v>1823</v>
      </c>
      <c r="E323" s="102"/>
      <c r="F323" s="13" t="s">
        <v>2384</v>
      </c>
      <c r="G323" s="21">
        <v>2</v>
      </c>
      <c r="H323" s="21">
        <v>0</v>
      </c>
      <c r="I323" s="21">
        <f t="shared" si="280"/>
        <v>0</v>
      </c>
      <c r="J323" s="21">
        <f t="shared" si="281"/>
        <v>0</v>
      </c>
      <c r="K323" s="21">
        <f t="shared" si="282"/>
        <v>0</v>
      </c>
      <c r="L323" s="21">
        <v>0</v>
      </c>
      <c r="M323" s="21">
        <f t="shared" si="283"/>
        <v>0</v>
      </c>
      <c r="N323" s="35"/>
      <c r="O323" s="39"/>
      <c r="U323" s="41">
        <f t="shared" si="284"/>
        <v>0</v>
      </c>
      <c r="W323" s="41">
        <f t="shared" si="285"/>
        <v>0</v>
      </c>
      <c r="X323" s="41">
        <f t="shared" si="286"/>
        <v>0</v>
      </c>
      <c r="Y323" s="41">
        <f t="shared" si="287"/>
        <v>0</v>
      </c>
      <c r="Z323" s="41">
        <f t="shared" si="288"/>
        <v>0</v>
      </c>
      <c r="AA323" s="41">
        <f t="shared" si="289"/>
        <v>0</v>
      </c>
      <c r="AB323" s="41">
        <f t="shared" si="290"/>
        <v>0</v>
      </c>
      <c r="AC323" s="41">
        <f t="shared" si="291"/>
        <v>0</v>
      </c>
      <c r="AD323" s="31"/>
      <c r="AE323" s="21">
        <f t="shared" si="292"/>
        <v>0</v>
      </c>
      <c r="AF323" s="21">
        <f t="shared" si="293"/>
        <v>0</v>
      </c>
      <c r="AG323" s="21">
        <f t="shared" si="294"/>
        <v>0</v>
      </c>
      <c r="AI323" s="41">
        <v>21</v>
      </c>
      <c r="AJ323" s="41">
        <f t="shared" si="295"/>
        <v>0</v>
      </c>
      <c r="AK323" s="41">
        <f t="shared" si="296"/>
        <v>0</v>
      </c>
      <c r="AL323" s="42" t="s">
        <v>13</v>
      </c>
      <c r="AQ323" s="41">
        <f t="shared" si="297"/>
        <v>0</v>
      </c>
      <c r="AR323" s="41">
        <f t="shared" si="298"/>
        <v>0</v>
      </c>
      <c r="AS323" s="41">
        <f t="shared" si="299"/>
        <v>0</v>
      </c>
      <c r="AT323" s="44" t="s">
        <v>2438</v>
      </c>
      <c r="AU323" s="44" t="s">
        <v>2480</v>
      </c>
      <c r="AV323" s="31" t="s">
        <v>2486</v>
      </c>
      <c r="AX323" s="41">
        <f t="shared" si="300"/>
        <v>0</v>
      </c>
      <c r="AY323" s="41">
        <f t="shared" si="301"/>
        <v>0</v>
      </c>
      <c r="AZ323" s="41">
        <v>0</v>
      </c>
      <c r="BA323" s="41">
        <f t="shared" si="302"/>
        <v>0</v>
      </c>
      <c r="BC323" s="21">
        <f t="shared" si="303"/>
        <v>0</v>
      </c>
      <c r="BD323" s="21">
        <f t="shared" si="304"/>
        <v>0</v>
      </c>
      <c r="BE323" s="21">
        <f t="shared" si="305"/>
        <v>0</v>
      </c>
      <c r="BF323" s="21" t="s">
        <v>2492</v>
      </c>
      <c r="BG323" s="41">
        <v>728</v>
      </c>
    </row>
    <row r="324" spans="1:59" x14ac:dyDescent="0.3">
      <c r="A324" s="4" t="s">
        <v>308</v>
      </c>
      <c r="B324" s="13"/>
      <c r="C324" s="13" t="s">
        <v>1136</v>
      </c>
      <c r="D324" s="101" t="s">
        <v>1846</v>
      </c>
      <c r="E324" s="102"/>
      <c r="F324" s="13" t="s">
        <v>2384</v>
      </c>
      <c r="G324" s="21">
        <v>2</v>
      </c>
      <c r="H324" s="21">
        <v>0</v>
      </c>
      <c r="I324" s="21">
        <f t="shared" si="280"/>
        <v>0</v>
      </c>
      <c r="J324" s="21">
        <f t="shared" si="281"/>
        <v>0</v>
      </c>
      <c r="K324" s="21">
        <f t="shared" si="282"/>
        <v>0</v>
      </c>
      <c r="L324" s="21">
        <v>0</v>
      </c>
      <c r="M324" s="21">
        <f t="shared" si="283"/>
        <v>0</v>
      </c>
      <c r="N324" s="35"/>
      <c r="O324" s="39"/>
      <c r="U324" s="41">
        <f t="shared" si="284"/>
        <v>0</v>
      </c>
      <c r="W324" s="41">
        <f t="shared" si="285"/>
        <v>0</v>
      </c>
      <c r="X324" s="41">
        <f t="shared" si="286"/>
        <v>0</v>
      </c>
      <c r="Y324" s="41">
        <f t="shared" si="287"/>
        <v>0</v>
      </c>
      <c r="Z324" s="41">
        <f t="shared" si="288"/>
        <v>0</v>
      </c>
      <c r="AA324" s="41">
        <f t="shared" si="289"/>
        <v>0</v>
      </c>
      <c r="AB324" s="41">
        <f t="shared" si="290"/>
        <v>0</v>
      </c>
      <c r="AC324" s="41">
        <f t="shared" si="291"/>
        <v>0</v>
      </c>
      <c r="AD324" s="31"/>
      <c r="AE324" s="21">
        <f t="shared" si="292"/>
        <v>0</v>
      </c>
      <c r="AF324" s="21">
        <f t="shared" si="293"/>
        <v>0</v>
      </c>
      <c r="AG324" s="21">
        <f t="shared" si="294"/>
        <v>0</v>
      </c>
      <c r="AI324" s="41">
        <v>21</v>
      </c>
      <c r="AJ324" s="41">
        <f t="shared" si="295"/>
        <v>0</v>
      </c>
      <c r="AK324" s="41">
        <f t="shared" si="296"/>
        <v>0</v>
      </c>
      <c r="AL324" s="42" t="s">
        <v>13</v>
      </c>
      <c r="AQ324" s="41">
        <f t="shared" si="297"/>
        <v>0</v>
      </c>
      <c r="AR324" s="41">
        <f t="shared" si="298"/>
        <v>0</v>
      </c>
      <c r="AS324" s="41">
        <f t="shared" si="299"/>
        <v>0</v>
      </c>
      <c r="AT324" s="44" t="s">
        <v>2438</v>
      </c>
      <c r="AU324" s="44" t="s">
        <v>2480</v>
      </c>
      <c r="AV324" s="31" t="s">
        <v>2486</v>
      </c>
      <c r="AX324" s="41">
        <f t="shared" si="300"/>
        <v>0</v>
      </c>
      <c r="AY324" s="41">
        <f t="shared" si="301"/>
        <v>0</v>
      </c>
      <c r="AZ324" s="41">
        <v>0</v>
      </c>
      <c r="BA324" s="41">
        <f t="shared" si="302"/>
        <v>0</v>
      </c>
      <c r="BC324" s="21">
        <f t="shared" si="303"/>
        <v>0</v>
      </c>
      <c r="BD324" s="21">
        <f t="shared" si="304"/>
        <v>0</v>
      </c>
      <c r="BE324" s="21">
        <f t="shared" si="305"/>
        <v>0</v>
      </c>
      <c r="BF324" s="21" t="s">
        <v>2492</v>
      </c>
      <c r="BG324" s="41">
        <v>728</v>
      </c>
    </row>
    <row r="325" spans="1:59" x14ac:dyDescent="0.3">
      <c r="A325" s="4" t="s">
        <v>309</v>
      </c>
      <c r="B325" s="13"/>
      <c r="C325" s="13" t="s">
        <v>1136</v>
      </c>
      <c r="D325" s="101" t="s">
        <v>1847</v>
      </c>
      <c r="E325" s="102"/>
      <c r="F325" s="13" t="s">
        <v>2384</v>
      </c>
      <c r="G325" s="21">
        <v>8</v>
      </c>
      <c r="H325" s="21">
        <v>0</v>
      </c>
      <c r="I325" s="21">
        <f t="shared" si="280"/>
        <v>0</v>
      </c>
      <c r="J325" s="21">
        <f t="shared" si="281"/>
        <v>0</v>
      </c>
      <c r="K325" s="21">
        <f t="shared" si="282"/>
        <v>0</v>
      </c>
      <c r="L325" s="21">
        <v>0</v>
      </c>
      <c r="M325" s="21">
        <f t="shared" si="283"/>
        <v>0</v>
      </c>
      <c r="N325" s="35"/>
      <c r="O325" s="39"/>
      <c r="U325" s="41">
        <f t="shared" si="284"/>
        <v>0</v>
      </c>
      <c r="W325" s="41">
        <f t="shared" si="285"/>
        <v>0</v>
      </c>
      <c r="X325" s="41">
        <f t="shared" si="286"/>
        <v>0</v>
      </c>
      <c r="Y325" s="41">
        <f t="shared" si="287"/>
        <v>0</v>
      </c>
      <c r="Z325" s="41">
        <f t="shared" si="288"/>
        <v>0</v>
      </c>
      <c r="AA325" s="41">
        <f t="shared" si="289"/>
        <v>0</v>
      </c>
      <c r="AB325" s="41">
        <f t="shared" si="290"/>
        <v>0</v>
      </c>
      <c r="AC325" s="41">
        <f t="shared" si="291"/>
        <v>0</v>
      </c>
      <c r="AD325" s="31"/>
      <c r="AE325" s="21">
        <f t="shared" si="292"/>
        <v>0</v>
      </c>
      <c r="AF325" s="21">
        <f t="shared" si="293"/>
        <v>0</v>
      </c>
      <c r="AG325" s="21">
        <f t="shared" si="294"/>
        <v>0</v>
      </c>
      <c r="AI325" s="41">
        <v>21</v>
      </c>
      <c r="AJ325" s="41">
        <f t="shared" si="295"/>
        <v>0</v>
      </c>
      <c r="AK325" s="41">
        <f t="shared" si="296"/>
        <v>0</v>
      </c>
      <c r="AL325" s="42" t="s">
        <v>13</v>
      </c>
      <c r="AQ325" s="41">
        <f t="shared" si="297"/>
        <v>0</v>
      </c>
      <c r="AR325" s="41">
        <f t="shared" si="298"/>
        <v>0</v>
      </c>
      <c r="AS325" s="41">
        <f t="shared" si="299"/>
        <v>0</v>
      </c>
      <c r="AT325" s="44" t="s">
        <v>2438</v>
      </c>
      <c r="AU325" s="44" t="s">
        <v>2480</v>
      </c>
      <c r="AV325" s="31" t="s">
        <v>2486</v>
      </c>
      <c r="AX325" s="41">
        <f t="shared" si="300"/>
        <v>0</v>
      </c>
      <c r="AY325" s="41">
        <f t="shared" si="301"/>
        <v>0</v>
      </c>
      <c r="AZ325" s="41">
        <v>0</v>
      </c>
      <c r="BA325" s="41">
        <f t="shared" si="302"/>
        <v>0</v>
      </c>
      <c r="BC325" s="21">
        <f t="shared" si="303"/>
        <v>0</v>
      </c>
      <c r="BD325" s="21">
        <f t="shared" si="304"/>
        <v>0</v>
      </c>
      <c r="BE325" s="21">
        <f t="shared" si="305"/>
        <v>0</v>
      </c>
      <c r="BF325" s="21" t="s">
        <v>2492</v>
      </c>
      <c r="BG325" s="41">
        <v>728</v>
      </c>
    </row>
    <row r="326" spans="1:59" x14ac:dyDescent="0.3">
      <c r="A326" s="4" t="s">
        <v>310</v>
      </c>
      <c r="B326" s="13"/>
      <c r="C326" s="13" t="s">
        <v>1136</v>
      </c>
      <c r="D326" s="101" t="s">
        <v>1823</v>
      </c>
      <c r="E326" s="102"/>
      <c r="F326" s="13" t="s">
        <v>2384</v>
      </c>
      <c r="G326" s="21">
        <v>1</v>
      </c>
      <c r="H326" s="21">
        <v>0</v>
      </c>
      <c r="I326" s="21">
        <f t="shared" si="280"/>
        <v>0</v>
      </c>
      <c r="J326" s="21">
        <f t="shared" si="281"/>
        <v>0</v>
      </c>
      <c r="K326" s="21">
        <f t="shared" si="282"/>
        <v>0</v>
      </c>
      <c r="L326" s="21">
        <v>0</v>
      </c>
      <c r="M326" s="21">
        <f t="shared" si="283"/>
        <v>0</v>
      </c>
      <c r="N326" s="35"/>
      <c r="O326" s="39"/>
      <c r="U326" s="41">
        <f t="shared" si="284"/>
        <v>0</v>
      </c>
      <c r="W326" s="41">
        <f t="shared" si="285"/>
        <v>0</v>
      </c>
      <c r="X326" s="41">
        <f t="shared" si="286"/>
        <v>0</v>
      </c>
      <c r="Y326" s="41">
        <f t="shared" si="287"/>
        <v>0</v>
      </c>
      <c r="Z326" s="41">
        <f t="shared" si="288"/>
        <v>0</v>
      </c>
      <c r="AA326" s="41">
        <f t="shared" si="289"/>
        <v>0</v>
      </c>
      <c r="AB326" s="41">
        <f t="shared" si="290"/>
        <v>0</v>
      </c>
      <c r="AC326" s="41">
        <f t="shared" si="291"/>
        <v>0</v>
      </c>
      <c r="AD326" s="31"/>
      <c r="AE326" s="21">
        <f t="shared" si="292"/>
        <v>0</v>
      </c>
      <c r="AF326" s="21">
        <f t="shared" si="293"/>
        <v>0</v>
      </c>
      <c r="AG326" s="21">
        <f t="shared" si="294"/>
        <v>0</v>
      </c>
      <c r="AI326" s="41">
        <v>21</v>
      </c>
      <c r="AJ326" s="41">
        <f t="shared" si="295"/>
        <v>0</v>
      </c>
      <c r="AK326" s="41">
        <f t="shared" si="296"/>
        <v>0</v>
      </c>
      <c r="AL326" s="42" t="s">
        <v>13</v>
      </c>
      <c r="AQ326" s="41">
        <f t="shared" si="297"/>
        <v>0</v>
      </c>
      <c r="AR326" s="41">
        <f t="shared" si="298"/>
        <v>0</v>
      </c>
      <c r="AS326" s="41">
        <f t="shared" si="299"/>
        <v>0</v>
      </c>
      <c r="AT326" s="44" t="s">
        <v>2438</v>
      </c>
      <c r="AU326" s="44" t="s">
        <v>2480</v>
      </c>
      <c r="AV326" s="31" t="s">
        <v>2486</v>
      </c>
      <c r="AX326" s="41">
        <f t="shared" si="300"/>
        <v>0</v>
      </c>
      <c r="AY326" s="41">
        <f t="shared" si="301"/>
        <v>0</v>
      </c>
      <c r="AZ326" s="41">
        <v>0</v>
      </c>
      <c r="BA326" s="41">
        <f t="shared" si="302"/>
        <v>0</v>
      </c>
      <c r="BC326" s="21">
        <f t="shared" si="303"/>
        <v>0</v>
      </c>
      <c r="BD326" s="21">
        <f t="shared" si="304"/>
        <v>0</v>
      </c>
      <c r="BE326" s="21">
        <f t="shared" si="305"/>
        <v>0</v>
      </c>
      <c r="BF326" s="21" t="s">
        <v>2492</v>
      </c>
      <c r="BG326" s="41">
        <v>728</v>
      </c>
    </row>
    <row r="327" spans="1:59" x14ac:dyDescent="0.3">
      <c r="A327" s="4" t="s">
        <v>311</v>
      </c>
      <c r="B327" s="13"/>
      <c r="C327" s="13" t="s">
        <v>1136</v>
      </c>
      <c r="D327" s="101" t="s">
        <v>1848</v>
      </c>
      <c r="E327" s="102"/>
      <c r="F327" s="13" t="s">
        <v>2384</v>
      </c>
      <c r="G327" s="21">
        <v>3</v>
      </c>
      <c r="H327" s="21">
        <v>0</v>
      </c>
      <c r="I327" s="21">
        <f t="shared" si="280"/>
        <v>0</v>
      </c>
      <c r="J327" s="21">
        <f t="shared" si="281"/>
        <v>0</v>
      </c>
      <c r="K327" s="21">
        <f t="shared" si="282"/>
        <v>0</v>
      </c>
      <c r="L327" s="21">
        <v>0</v>
      </c>
      <c r="M327" s="21">
        <f t="shared" si="283"/>
        <v>0</v>
      </c>
      <c r="N327" s="35"/>
      <c r="O327" s="39"/>
      <c r="U327" s="41">
        <f t="shared" si="284"/>
        <v>0</v>
      </c>
      <c r="W327" s="41">
        <f t="shared" si="285"/>
        <v>0</v>
      </c>
      <c r="X327" s="41">
        <f t="shared" si="286"/>
        <v>0</v>
      </c>
      <c r="Y327" s="41">
        <f t="shared" si="287"/>
        <v>0</v>
      </c>
      <c r="Z327" s="41">
        <f t="shared" si="288"/>
        <v>0</v>
      </c>
      <c r="AA327" s="41">
        <f t="shared" si="289"/>
        <v>0</v>
      </c>
      <c r="AB327" s="41">
        <f t="shared" si="290"/>
        <v>0</v>
      </c>
      <c r="AC327" s="41">
        <f t="shared" si="291"/>
        <v>0</v>
      </c>
      <c r="AD327" s="31"/>
      <c r="AE327" s="21">
        <f t="shared" si="292"/>
        <v>0</v>
      </c>
      <c r="AF327" s="21">
        <f t="shared" si="293"/>
        <v>0</v>
      </c>
      <c r="AG327" s="21">
        <f t="shared" si="294"/>
        <v>0</v>
      </c>
      <c r="AI327" s="41">
        <v>21</v>
      </c>
      <c r="AJ327" s="41">
        <f t="shared" si="295"/>
        <v>0</v>
      </c>
      <c r="AK327" s="41">
        <f t="shared" si="296"/>
        <v>0</v>
      </c>
      <c r="AL327" s="42" t="s">
        <v>13</v>
      </c>
      <c r="AQ327" s="41">
        <f t="shared" si="297"/>
        <v>0</v>
      </c>
      <c r="AR327" s="41">
        <f t="shared" si="298"/>
        <v>0</v>
      </c>
      <c r="AS327" s="41">
        <f t="shared" si="299"/>
        <v>0</v>
      </c>
      <c r="AT327" s="44" t="s">
        <v>2438</v>
      </c>
      <c r="AU327" s="44" t="s">
        <v>2480</v>
      </c>
      <c r="AV327" s="31" t="s">
        <v>2486</v>
      </c>
      <c r="AX327" s="41">
        <f t="shared" si="300"/>
        <v>0</v>
      </c>
      <c r="AY327" s="41">
        <f t="shared" si="301"/>
        <v>0</v>
      </c>
      <c r="AZ327" s="41">
        <v>0</v>
      </c>
      <c r="BA327" s="41">
        <f t="shared" si="302"/>
        <v>0</v>
      </c>
      <c r="BC327" s="21">
        <f t="shared" si="303"/>
        <v>0</v>
      </c>
      <c r="BD327" s="21">
        <f t="shared" si="304"/>
        <v>0</v>
      </c>
      <c r="BE327" s="21">
        <f t="shared" si="305"/>
        <v>0</v>
      </c>
      <c r="BF327" s="21" t="s">
        <v>2492</v>
      </c>
      <c r="BG327" s="41">
        <v>728</v>
      </c>
    </row>
    <row r="328" spans="1:59" x14ac:dyDescent="0.3">
      <c r="A328" s="4" t="s">
        <v>312</v>
      </c>
      <c r="B328" s="13"/>
      <c r="C328" s="13" t="s">
        <v>1136</v>
      </c>
      <c r="D328" s="101" t="s">
        <v>1824</v>
      </c>
      <c r="E328" s="102"/>
      <c r="F328" s="13" t="s">
        <v>2384</v>
      </c>
      <c r="G328" s="21">
        <v>1</v>
      </c>
      <c r="H328" s="21">
        <v>0</v>
      </c>
      <c r="I328" s="21">
        <f t="shared" si="280"/>
        <v>0</v>
      </c>
      <c r="J328" s="21">
        <f t="shared" si="281"/>
        <v>0</v>
      </c>
      <c r="K328" s="21">
        <f t="shared" si="282"/>
        <v>0</v>
      </c>
      <c r="L328" s="21">
        <v>0</v>
      </c>
      <c r="M328" s="21">
        <f t="shared" si="283"/>
        <v>0</v>
      </c>
      <c r="N328" s="35"/>
      <c r="O328" s="39"/>
      <c r="U328" s="41">
        <f t="shared" si="284"/>
        <v>0</v>
      </c>
      <c r="W328" s="41">
        <f t="shared" si="285"/>
        <v>0</v>
      </c>
      <c r="X328" s="41">
        <f t="shared" si="286"/>
        <v>0</v>
      </c>
      <c r="Y328" s="41">
        <f t="shared" si="287"/>
        <v>0</v>
      </c>
      <c r="Z328" s="41">
        <f t="shared" si="288"/>
        <v>0</v>
      </c>
      <c r="AA328" s="41">
        <f t="shared" si="289"/>
        <v>0</v>
      </c>
      <c r="AB328" s="41">
        <f t="shared" si="290"/>
        <v>0</v>
      </c>
      <c r="AC328" s="41">
        <f t="shared" si="291"/>
        <v>0</v>
      </c>
      <c r="AD328" s="31"/>
      <c r="AE328" s="21">
        <f t="shared" si="292"/>
        <v>0</v>
      </c>
      <c r="AF328" s="21">
        <f t="shared" si="293"/>
        <v>0</v>
      </c>
      <c r="AG328" s="21">
        <f t="shared" si="294"/>
        <v>0</v>
      </c>
      <c r="AI328" s="41">
        <v>21</v>
      </c>
      <c r="AJ328" s="41">
        <f t="shared" si="295"/>
        <v>0</v>
      </c>
      <c r="AK328" s="41">
        <f t="shared" si="296"/>
        <v>0</v>
      </c>
      <c r="AL328" s="42" t="s">
        <v>13</v>
      </c>
      <c r="AQ328" s="41">
        <f t="shared" si="297"/>
        <v>0</v>
      </c>
      <c r="AR328" s="41">
        <f t="shared" si="298"/>
        <v>0</v>
      </c>
      <c r="AS328" s="41">
        <f t="shared" si="299"/>
        <v>0</v>
      </c>
      <c r="AT328" s="44" t="s">
        <v>2438</v>
      </c>
      <c r="AU328" s="44" t="s">
        <v>2480</v>
      </c>
      <c r="AV328" s="31" t="s">
        <v>2486</v>
      </c>
      <c r="AX328" s="41">
        <f t="shared" si="300"/>
        <v>0</v>
      </c>
      <c r="AY328" s="41">
        <f t="shared" si="301"/>
        <v>0</v>
      </c>
      <c r="AZ328" s="41">
        <v>0</v>
      </c>
      <c r="BA328" s="41">
        <f t="shared" si="302"/>
        <v>0</v>
      </c>
      <c r="BC328" s="21">
        <f t="shared" si="303"/>
        <v>0</v>
      </c>
      <c r="BD328" s="21">
        <f t="shared" si="304"/>
        <v>0</v>
      </c>
      <c r="BE328" s="21">
        <f t="shared" si="305"/>
        <v>0</v>
      </c>
      <c r="BF328" s="21" t="s">
        <v>2492</v>
      </c>
      <c r="BG328" s="41">
        <v>728</v>
      </c>
    </row>
    <row r="329" spans="1:59" x14ac:dyDescent="0.3">
      <c r="A329" s="4" t="s">
        <v>313</v>
      </c>
      <c r="B329" s="13"/>
      <c r="C329" s="13" t="s">
        <v>1136</v>
      </c>
      <c r="D329" s="101" t="s">
        <v>1824</v>
      </c>
      <c r="E329" s="102"/>
      <c r="F329" s="13" t="s">
        <v>2384</v>
      </c>
      <c r="G329" s="21">
        <v>2</v>
      </c>
      <c r="H329" s="21">
        <v>0</v>
      </c>
      <c r="I329" s="21">
        <f t="shared" si="280"/>
        <v>0</v>
      </c>
      <c r="J329" s="21">
        <f t="shared" si="281"/>
        <v>0</v>
      </c>
      <c r="K329" s="21">
        <f t="shared" si="282"/>
        <v>0</v>
      </c>
      <c r="L329" s="21">
        <v>0</v>
      </c>
      <c r="M329" s="21">
        <f t="shared" si="283"/>
        <v>0</v>
      </c>
      <c r="N329" s="35"/>
      <c r="O329" s="39"/>
      <c r="U329" s="41">
        <f t="shared" si="284"/>
        <v>0</v>
      </c>
      <c r="W329" s="41">
        <f t="shared" si="285"/>
        <v>0</v>
      </c>
      <c r="X329" s="41">
        <f t="shared" si="286"/>
        <v>0</v>
      </c>
      <c r="Y329" s="41">
        <f t="shared" si="287"/>
        <v>0</v>
      </c>
      <c r="Z329" s="41">
        <f t="shared" si="288"/>
        <v>0</v>
      </c>
      <c r="AA329" s="41">
        <f t="shared" si="289"/>
        <v>0</v>
      </c>
      <c r="AB329" s="41">
        <f t="shared" si="290"/>
        <v>0</v>
      </c>
      <c r="AC329" s="41">
        <f t="shared" si="291"/>
        <v>0</v>
      </c>
      <c r="AD329" s="31"/>
      <c r="AE329" s="21">
        <f t="shared" si="292"/>
        <v>0</v>
      </c>
      <c r="AF329" s="21">
        <f t="shared" si="293"/>
        <v>0</v>
      </c>
      <c r="AG329" s="21">
        <f t="shared" si="294"/>
        <v>0</v>
      </c>
      <c r="AI329" s="41">
        <v>21</v>
      </c>
      <c r="AJ329" s="41">
        <f t="shared" si="295"/>
        <v>0</v>
      </c>
      <c r="AK329" s="41">
        <f t="shared" si="296"/>
        <v>0</v>
      </c>
      <c r="AL329" s="42" t="s">
        <v>13</v>
      </c>
      <c r="AQ329" s="41">
        <f t="shared" si="297"/>
        <v>0</v>
      </c>
      <c r="AR329" s="41">
        <f t="shared" si="298"/>
        <v>0</v>
      </c>
      <c r="AS329" s="41">
        <f t="shared" si="299"/>
        <v>0</v>
      </c>
      <c r="AT329" s="44" t="s">
        <v>2438</v>
      </c>
      <c r="AU329" s="44" t="s">
        <v>2480</v>
      </c>
      <c r="AV329" s="31" t="s">
        <v>2486</v>
      </c>
      <c r="AX329" s="41">
        <f t="shared" si="300"/>
        <v>0</v>
      </c>
      <c r="AY329" s="41">
        <f t="shared" si="301"/>
        <v>0</v>
      </c>
      <c r="AZ329" s="41">
        <v>0</v>
      </c>
      <c r="BA329" s="41">
        <f t="shared" si="302"/>
        <v>0</v>
      </c>
      <c r="BC329" s="21">
        <f t="shared" si="303"/>
        <v>0</v>
      </c>
      <c r="BD329" s="21">
        <f t="shared" si="304"/>
        <v>0</v>
      </c>
      <c r="BE329" s="21">
        <f t="shared" si="305"/>
        <v>0</v>
      </c>
      <c r="BF329" s="21" t="s">
        <v>2492</v>
      </c>
      <c r="BG329" s="41">
        <v>728</v>
      </c>
    </row>
    <row r="330" spans="1:59" x14ac:dyDescent="0.3">
      <c r="A330" s="4" t="s">
        <v>314</v>
      </c>
      <c r="B330" s="13"/>
      <c r="C330" s="13" t="s">
        <v>1136</v>
      </c>
      <c r="D330" s="101" t="s">
        <v>1849</v>
      </c>
      <c r="E330" s="102"/>
      <c r="F330" s="13" t="s">
        <v>2384</v>
      </c>
      <c r="G330" s="21">
        <v>12</v>
      </c>
      <c r="H330" s="21">
        <v>0</v>
      </c>
      <c r="I330" s="21">
        <f t="shared" si="280"/>
        <v>0</v>
      </c>
      <c r="J330" s="21">
        <f t="shared" si="281"/>
        <v>0</v>
      </c>
      <c r="K330" s="21">
        <f t="shared" si="282"/>
        <v>0</v>
      </c>
      <c r="L330" s="21">
        <v>0</v>
      </c>
      <c r="M330" s="21">
        <f t="shared" si="283"/>
        <v>0</v>
      </c>
      <c r="N330" s="35"/>
      <c r="O330" s="39"/>
      <c r="U330" s="41">
        <f t="shared" si="284"/>
        <v>0</v>
      </c>
      <c r="W330" s="41">
        <f t="shared" si="285"/>
        <v>0</v>
      </c>
      <c r="X330" s="41">
        <f t="shared" si="286"/>
        <v>0</v>
      </c>
      <c r="Y330" s="41">
        <f t="shared" si="287"/>
        <v>0</v>
      </c>
      <c r="Z330" s="41">
        <f t="shared" si="288"/>
        <v>0</v>
      </c>
      <c r="AA330" s="41">
        <f t="shared" si="289"/>
        <v>0</v>
      </c>
      <c r="AB330" s="41">
        <f t="shared" si="290"/>
        <v>0</v>
      </c>
      <c r="AC330" s="41">
        <f t="shared" si="291"/>
        <v>0</v>
      </c>
      <c r="AD330" s="31"/>
      <c r="AE330" s="21">
        <f t="shared" si="292"/>
        <v>0</v>
      </c>
      <c r="AF330" s="21">
        <f t="shared" si="293"/>
        <v>0</v>
      </c>
      <c r="AG330" s="21">
        <f t="shared" si="294"/>
        <v>0</v>
      </c>
      <c r="AI330" s="41">
        <v>21</v>
      </c>
      <c r="AJ330" s="41">
        <f t="shared" si="295"/>
        <v>0</v>
      </c>
      <c r="AK330" s="41">
        <f t="shared" si="296"/>
        <v>0</v>
      </c>
      <c r="AL330" s="42" t="s">
        <v>13</v>
      </c>
      <c r="AQ330" s="41">
        <f t="shared" si="297"/>
        <v>0</v>
      </c>
      <c r="AR330" s="41">
        <f t="shared" si="298"/>
        <v>0</v>
      </c>
      <c r="AS330" s="41">
        <f t="shared" si="299"/>
        <v>0</v>
      </c>
      <c r="AT330" s="44" t="s">
        <v>2438</v>
      </c>
      <c r="AU330" s="44" t="s">
        <v>2480</v>
      </c>
      <c r="AV330" s="31" t="s">
        <v>2486</v>
      </c>
      <c r="AX330" s="41">
        <f t="shared" si="300"/>
        <v>0</v>
      </c>
      <c r="AY330" s="41">
        <f t="shared" si="301"/>
        <v>0</v>
      </c>
      <c r="AZ330" s="41">
        <v>0</v>
      </c>
      <c r="BA330" s="41">
        <f t="shared" si="302"/>
        <v>0</v>
      </c>
      <c r="BC330" s="21">
        <f t="shared" si="303"/>
        <v>0</v>
      </c>
      <c r="BD330" s="21">
        <f t="shared" si="304"/>
        <v>0</v>
      </c>
      <c r="BE330" s="21">
        <f t="shared" si="305"/>
        <v>0</v>
      </c>
      <c r="BF330" s="21" t="s">
        <v>2492</v>
      </c>
      <c r="BG330" s="41">
        <v>728</v>
      </c>
    </row>
    <row r="331" spans="1:59" x14ac:dyDescent="0.3">
      <c r="A331" s="4" t="s">
        <v>315</v>
      </c>
      <c r="B331" s="13"/>
      <c r="C331" s="13" t="s">
        <v>1136</v>
      </c>
      <c r="D331" s="101" t="s">
        <v>1850</v>
      </c>
      <c r="E331" s="102"/>
      <c r="F331" s="13" t="s">
        <v>2384</v>
      </c>
      <c r="G331" s="21">
        <v>1</v>
      </c>
      <c r="H331" s="21">
        <v>0</v>
      </c>
      <c r="I331" s="21">
        <f t="shared" si="280"/>
        <v>0</v>
      </c>
      <c r="J331" s="21">
        <f t="shared" si="281"/>
        <v>0</v>
      </c>
      <c r="K331" s="21">
        <f t="shared" si="282"/>
        <v>0</v>
      </c>
      <c r="L331" s="21">
        <v>0</v>
      </c>
      <c r="M331" s="21">
        <f t="shared" si="283"/>
        <v>0</v>
      </c>
      <c r="N331" s="35"/>
      <c r="O331" s="39"/>
      <c r="U331" s="41">
        <f t="shared" si="284"/>
        <v>0</v>
      </c>
      <c r="W331" s="41">
        <f t="shared" si="285"/>
        <v>0</v>
      </c>
      <c r="X331" s="41">
        <f t="shared" si="286"/>
        <v>0</v>
      </c>
      <c r="Y331" s="41">
        <f t="shared" si="287"/>
        <v>0</v>
      </c>
      <c r="Z331" s="41">
        <f t="shared" si="288"/>
        <v>0</v>
      </c>
      <c r="AA331" s="41">
        <f t="shared" si="289"/>
        <v>0</v>
      </c>
      <c r="AB331" s="41">
        <f t="shared" si="290"/>
        <v>0</v>
      </c>
      <c r="AC331" s="41">
        <f t="shared" si="291"/>
        <v>0</v>
      </c>
      <c r="AD331" s="31"/>
      <c r="AE331" s="21">
        <f t="shared" si="292"/>
        <v>0</v>
      </c>
      <c r="AF331" s="21">
        <f t="shared" si="293"/>
        <v>0</v>
      </c>
      <c r="AG331" s="21">
        <f t="shared" si="294"/>
        <v>0</v>
      </c>
      <c r="AI331" s="41">
        <v>21</v>
      </c>
      <c r="AJ331" s="41">
        <f t="shared" si="295"/>
        <v>0</v>
      </c>
      <c r="AK331" s="41">
        <f t="shared" si="296"/>
        <v>0</v>
      </c>
      <c r="AL331" s="42" t="s">
        <v>13</v>
      </c>
      <c r="AQ331" s="41">
        <f t="shared" si="297"/>
        <v>0</v>
      </c>
      <c r="AR331" s="41">
        <f t="shared" si="298"/>
        <v>0</v>
      </c>
      <c r="AS331" s="41">
        <f t="shared" si="299"/>
        <v>0</v>
      </c>
      <c r="AT331" s="44" t="s">
        <v>2438</v>
      </c>
      <c r="AU331" s="44" t="s">
        <v>2480</v>
      </c>
      <c r="AV331" s="31" t="s">
        <v>2486</v>
      </c>
      <c r="AX331" s="41">
        <f t="shared" si="300"/>
        <v>0</v>
      </c>
      <c r="AY331" s="41">
        <f t="shared" si="301"/>
        <v>0</v>
      </c>
      <c r="AZ331" s="41">
        <v>0</v>
      </c>
      <c r="BA331" s="41">
        <f t="shared" si="302"/>
        <v>0</v>
      </c>
      <c r="BC331" s="21">
        <f t="shared" si="303"/>
        <v>0</v>
      </c>
      <c r="BD331" s="21">
        <f t="shared" si="304"/>
        <v>0</v>
      </c>
      <c r="BE331" s="21">
        <f t="shared" si="305"/>
        <v>0</v>
      </c>
      <c r="BF331" s="21" t="s">
        <v>2492</v>
      </c>
      <c r="BG331" s="41">
        <v>728</v>
      </c>
    </row>
    <row r="332" spans="1:59" x14ac:dyDescent="0.3">
      <c r="A332" s="4" t="s">
        <v>316</v>
      </c>
      <c r="B332" s="13"/>
      <c r="C332" s="13" t="s">
        <v>1136</v>
      </c>
      <c r="D332" s="101" t="s">
        <v>1820</v>
      </c>
      <c r="E332" s="102"/>
      <c r="F332" s="13" t="s">
        <v>2384</v>
      </c>
      <c r="G332" s="21">
        <v>6</v>
      </c>
      <c r="H332" s="21">
        <v>0</v>
      </c>
      <c r="I332" s="21">
        <f t="shared" si="280"/>
        <v>0</v>
      </c>
      <c r="J332" s="21">
        <f t="shared" si="281"/>
        <v>0</v>
      </c>
      <c r="K332" s="21">
        <f t="shared" si="282"/>
        <v>0</v>
      </c>
      <c r="L332" s="21">
        <v>0</v>
      </c>
      <c r="M332" s="21">
        <f t="shared" si="283"/>
        <v>0</v>
      </c>
      <c r="N332" s="35"/>
      <c r="O332" s="39"/>
      <c r="U332" s="41">
        <f t="shared" si="284"/>
        <v>0</v>
      </c>
      <c r="W332" s="41">
        <f t="shared" si="285"/>
        <v>0</v>
      </c>
      <c r="X332" s="41">
        <f t="shared" si="286"/>
        <v>0</v>
      </c>
      <c r="Y332" s="41">
        <f t="shared" si="287"/>
        <v>0</v>
      </c>
      <c r="Z332" s="41">
        <f t="shared" si="288"/>
        <v>0</v>
      </c>
      <c r="AA332" s="41">
        <f t="shared" si="289"/>
        <v>0</v>
      </c>
      <c r="AB332" s="41">
        <f t="shared" si="290"/>
        <v>0</v>
      </c>
      <c r="AC332" s="41">
        <f t="shared" si="291"/>
        <v>0</v>
      </c>
      <c r="AD332" s="31"/>
      <c r="AE332" s="21">
        <f t="shared" si="292"/>
        <v>0</v>
      </c>
      <c r="AF332" s="21">
        <f t="shared" si="293"/>
        <v>0</v>
      </c>
      <c r="AG332" s="21">
        <f t="shared" si="294"/>
        <v>0</v>
      </c>
      <c r="AI332" s="41">
        <v>21</v>
      </c>
      <c r="AJ332" s="41">
        <f t="shared" si="295"/>
        <v>0</v>
      </c>
      <c r="AK332" s="41">
        <f t="shared" si="296"/>
        <v>0</v>
      </c>
      <c r="AL332" s="42" t="s">
        <v>13</v>
      </c>
      <c r="AQ332" s="41">
        <f t="shared" si="297"/>
        <v>0</v>
      </c>
      <c r="AR332" s="41">
        <f t="shared" si="298"/>
        <v>0</v>
      </c>
      <c r="AS332" s="41">
        <f t="shared" si="299"/>
        <v>0</v>
      </c>
      <c r="AT332" s="44" t="s">
        <v>2438</v>
      </c>
      <c r="AU332" s="44" t="s">
        <v>2480</v>
      </c>
      <c r="AV332" s="31" t="s">
        <v>2486</v>
      </c>
      <c r="AX332" s="41">
        <f t="shared" si="300"/>
        <v>0</v>
      </c>
      <c r="AY332" s="41">
        <f t="shared" si="301"/>
        <v>0</v>
      </c>
      <c r="AZ332" s="41">
        <v>0</v>
      </c>
      <c r="BA332" s="41">
        <f t="shared" si="302"/>
        <v>0</v>
      </c>
      <c r="BC332" s="21">
        <f t="shared" si="303"/>
        <v>0</v>
      </c>
      <c r="BD332" s="21">
        <f t="shared" si="304"/>
        <v>0</v>
      </c>
      <c r="BE332" s="21">
        <f t="shared" si="305"/>
        <v>0</v>
      </c>
      <c r="BF332" s="21" t="s">
        <v>2492</v>
      </c>
      <c r="BG332" s="41">
        <v>728</v>
      </c>
    </row>
    <row r="333" spans="1:59" x14ac:dyDescent="0.3">
      <c r="A333" s="4" t="s">
        <v>317</v>
      </c>
      <c r="B333" s="13"/>
      <c r="C333" s="13" t="s">
        <v>1136</v>
      </c>
      <c r="D333" s="101" t="s">
        <v>1820</v>
      </c>
      <c r="E333" s="102"/>
      <c r="F333" s="13" t="s">
        <v>2384</v>
      </c>
      <c r="G333" s="21">
        <v>1</v>
      </c>
      <c r="H333" s="21">
        <v>0</v>
      </c>
      <c r="I333" s="21">
        <f t="shared" si="280"/>
        <v>0</v>
      </c>
      <c r="J333" s="21">
        <f t="shared" si="281"/>
        <v>0</v>
      </c>
      <c r="K333" s="21">
        <f t="shared" si="282"/>
        <v>0</v>
      </c>
      <c r="L333" s="21">
        <v>0</v>
      </c>
      <c r="M333" s="21">
        <f t="shared" si="283"/>
        <v>0</v>
      </c>
      <c r="N333" s="35"/>
      <c r="O333" s="39"/>
      <c r="U333" s="41">
        <f t="shared" si="284"/>
        <v>0</v>
      </c>
      <c r="W333" s="41">
        <f t="shared" si="285"/>
        <v>0</v>
      </c>
      <c r="X333" s="41">
        <f t="shared" si="286"/>
        <v>0</v>
      </c>
      <c r="Y333" s="41">
        <f t="shared" si="287"/>
        <v>0</v>
      </c>
      <c r="Z333" s="41">
        <f t="shared" si="288"/>
        <v>0</v>
      </c>
      <c r="AA333" s="41">
        <f t="shared" si="289"/>
        <v>0</v>
      </c>
      <c r="AB333" s="41">
        <f t="shared" si="290"/>
        <v>0</v>
      </c>
      <c r="AC333" s="41">
        <f t="shared" si="291"/>
        <v>0</v>
      </c>
      <c r="AD333" s="31"/>
      <c r="AE333" s="21">
        <f t="shared" si="292"/>
        <v>0</v>
      </c>
      <c r="AF333" s="21">
        <f t="shared" si="293"/>
        <v>0</v>
      </c>
      <c r="AG333" s="21">
        <f t="shared" si="294"/>
        <v>0</v>
      </c>
      <c r="AI333" s="41">
        <v>21</v>
      </c>
      <c r="AJ333" s="41">
        <f t="shared" si="295"/>
        <v>0</v>
      </c>
      <c r="AK333" s="41">
        <f t="shared" si="296"/>
        <v>0</v>
      </c>
      <c r="AL333" s="42" t="s">
        <v>13</v>
      </c>
      <c r="AQ333" s="41">
        <f t="shared" si="297"/>
        <v>0</v>
      </c>
      <c r="AR333" s="41">
        <f t="shared" si="298"/>
        <v>0</v>
      </c>
      <c r="AS333" s="41">
        <f t="shared" si="299"/>
        <v>0</v>
      </c>
      <c r="AT333" s="44" t="s">
        <v>2438</v>
      </c>
      <c r="AU333" s="44" t="s">
        <v>2480</v>
      </c>
      <c r="AV333" s="31" t="s">
        <v>2486</v>
      </c>
      <c r="AX333" s="41">
        <f t="shared" si="300"/>
        <v>0</v>
      </c>
      <c r="AY333" s="41">
        <f t="shared" si="301"/>
        <v>0</v>
      </c>
      <c r="AZ333" s="41">
        <v>0</v>
      </c>
      <c r="BA333" s="41">
        <f t="shared" si="302"/>
        <v>0</v>
      </c>
      <c r="BC333" s="21">
        <f t="shared" si="303"/>
        <v>0</v>
      </c>
      <c r="BD333" s="21">
        <f t="shared" si="304"/>
        <v>0</v>
      </c>
      <c r="BE333" s="21">
        <f t="shared" si="305"/>
        <v>0</v>
      </c>
      <c r="BF333" s="21" t="s">
        <v>2492</v>
      </c>
      <c r="BG333" s="41">
        <v>728</v>
      </c>
    </row>
    <row r="334" spans="1:59" x14ac:dyDescent="0.3">
      <c r="A334" s="4" t="s">
        <v>318</v>
      </c>
      <c r="B334" s="13"/>
      <c r="C334" s="13" t="s">
        <v>1136</v>
      </c>
      <c r="D334" s="101" t="s">
        <v>1860</v>
      </c>
      <c r="E334" s="102"/>
      <c r="F334" s="13" t="s">
        <v>2384</v>
      </c>
      <c r="G334" s="21">
        <v>1</v>
      </c>
      <c r="H334" s="21">
        <v>0</v>
      </c>
      <c r="I334" s="21">
        <f t="shared" si="280"/>
        <v>0</v>
      </c>
      <c r="J334" s="21">
        <f t="shared" si="281"/>
        <v>0</v>
      </c>
      <c r="K334" s="21">
        <f t="shared" si="282"/>
        <v>0</v>
      </c>
      <c r="L334" s="21">
        <v>0</v>
      </c>
      <c r="M334" s="21">
        <f t="shared" si="283"/>
        <v>0</v>
      </c>
      <c r="N334" s="35"/>
      <c r="O334" s="39"/>
      <c r="U334" s="41">
        <f t="shared" si="284"/>
        <v>0</v>
      </c>
      <c r="W334" s="41">
        <f t="shared" si="285"/>
        <v>0</v>
      </c>
      <c r="X334" s="41">
        <f t="shared" si="286"/>
        <v>0</v>
      </c>
      <c r="Y334" s="41">
        <f t="shared" si="287"/>
        <v>0</v>
      </c>
      <c r="Z334" s="41">
        <f t="shared" si="288"/>
        <v>0</v>
      </c>
      <c r="AA334" s="41">
        <f t="shared" si="289"/>
        <v>0</v>
      </c>
      <c r="AB334" s="41">
        <f t="shared" si="290"/>
        <v>0</v>
      </c>
      <c r="AC334" s="41">
        <f t="shared" si="291"/>
        <v>0</v>
      </c>
      <c r="AD334" s="31"/>
      <c r="AE334" s="21">
        <f t="shared" si="292"/>
        <v>0</v>
      </c>
      <c r="AF334" s="21">
        <f t="shared" si="293"/>
        <v>0</v>
      </c>
      <c r="AG334" s="21">
        <f t="shared" si="294"/>
        <v>0</v>
      </c>
      <c r="AI334" s="41">
        <v>21</v>
      </c>
      <c r="AJ334" s="41">
        <f t="shared" si="295"/>
        <v>0</v>
      </c>
      <c r="AK334" s="41">
        <f t="shared" si="296"/>
        <v>0</v>
      </c>
      <c r="AL334" s="42" t="s">
        <v>13</v>
      </c>
      <c r="AQ334" s="41">
        <f t="shared" si="297"/>
        <v>0</v>
      </c>
      <c r="AR334" s="41">
        <f t="shared" si="298"/>
        <v>0</v>
      </c>
      <c r="AS334" s="41">
        <f t="shared" si="299"/>
        <v>0</v>
      </c>
      <c r="AT334" s="44" t="s">
        <v>2438</v>
      </c>
      <c r="AU334" s="44" t="s">
        <v>2480</v>
      </c>
      <c r="AV334" s="31" t="s">
        <v>2486</v>
      </c>
      <c r="AX334" s="41">
        <f t="shared" si="300"/>
        <v>0</v>
      </c>
      <c r="AY334" s="41">
        <f t="shared" si="301"/>
        <v>0</v>
      </c>
      <c r="AZ334" s="41">
        <v>0</v>
      </c>
      <c r="BA334" s="41">
        <f t="shared" si="302"/>
        <v>0</v>
      </c>
      <c r="BC334" s="21">
        <f t="shared" si="303"/>
        <v>0</v>
      </c>
      <c r="BD334" s="21">
        <f t="shared" si="304"/>
        <v>0</v>
      </c>
      <c r="BE334" s="21">
        <f t="shared" si="305"/>
        <v>0</v>
      </c>
      <c r="BF334" s="21" t="s">
        <v>2492</v>
      </c>
      <c r="BG334" s="41">
        <v>728</v>
      </c>
    </row>
    <row r="335" spans="1:59" x14ac:dyDescent="0.3">
      <c r="A335" s="4" t="s">
        <v>319</v>
      </c>
      <c r="B335" s="13"/>
      <c r="C335" s="13" t="s">
        <v>1136</v>
      </c>
      <c r="D335" s="101" t="s">
        <v>1851</v>
      </c>
      <c r="E335" s="102"/>
      <c r="F335" s="13" t="s">
        <v>2384</v>
      </c>
      <c r="G335" s="21">
        <v>3</v>
      </c>
      <c r="H335" s="21">
        <v>0</v>
      </c>
      <c r="I335" s="21">
        <f t="shared" si="280"/>
        <v>0</v>
      </c>
      <c r="J335" s="21">
        <f t="shared" si="281"/>
        <v>0</v>
      </c>
      <c r="K335" s="21">
        <f t="shared" si="282"/>
        <v>0</v>
      </c>
      <c r="L335" s="21">
        <v>0</v>
      </c>
      <c r="M335" s="21">
        <f t="shared" si="283"/>
        <v>0</v>
      </c>
      <c r="N335" s="35"/>
      <c r="O335" s="39"/>
      <c r="U335" s="41">
        <f t="shared" si="284"/>
        <v>0</v>
      </c>
      <c r="W335" s="41">
        <f t="shared" si="285"/>
        <v>0</v>
      </c>
      <c r="X335" s="41">
        <f t="shared" si="286"/>
        <v>0</v>
      </c>
      <c r="Y335" s="41">
        <f t="shared" si="287"/>
        <v>0</v>
      </c>
      <c r="Z335" s="41">
        <f t="shared" si="288"/>
        <v>0</v>
      </c>
      <c r="AA335" s="41">
        <f t="shared" si="289"/>
        <v>0</v>
      </c>
      <c r="AB335" s="41">
        <f t="shared" si="290"/>
        <v>0</v>
      </c>
      <c r="AC335" s="41">
        <f t="shared" si="291"/>
        <v>0</v>
      </c>
      <c r="AD335" s="31"/>
      <c r="AE335" s="21">
        <f t="shared" si="292"/>
        <v>0</v>
      </c>
      <c r="AF335" s="21">
        <f t="shared" si="293"/>
        <v>0</v>
      </c>
      <c r="AG335" s="21">
        <f t="shared" si="294"/>
        <v>0</v>
      </c>
      <c r="AI335" s="41">
        <v>21</v>
      </c>
      <c r="AJ335" s="41">
        <f t="shared" si="295"/>
        <v>0</v>
      </c>
      <c r="AK335" s="41">
        <f t="shared" si="296"/>
        <v>0</v>
      </c>
      <c r="AL335" s="42" t="s">
        <v>13</v>
      </c>
      <c r="AQ335" s="41">
        <f t="shared" si="297"/>
        <v>0</v>
      </c>
      <c r="AR335" s="41">
        <f t="shared" si="298"/>
        <v>0</v>
      </c>
      <c r="AS335" s="41">
        <f t="shared" si="299"/>
        <v>0</v>
      </c>
      <c r="AT335" s="44" t="s">
        <v>2438</v>
      </c>
      <c r="AU335" s="44" t="s">
        <v>2480</v>
      </c>
      <c r="AV335" s="31" t="s">
        <v>2486</v>
      </c>
      <c r="AX335" s="41">
        <f t="shared" si="300"/>
        <v>0</v>
      </c>
      <c r="AY335" s="41">
        <f t="shared" si="301"/>
        <v>0</v>
      </c>
      <c r="AZ335" s="41">
        <v>0</v>
      </c>
      <c r="BA335" s="41">
        <f t="shared" si="302"/>
        <v>0</v>
      </c>
      <c r="BC335" s="21">
        <f t="shared" si="303"/>
        <v>0</v>
      </c>
      <c r="BD335" s="21">
        <f t="shared" si="304"/>
        <v>0</v>
      </c>
      <c r="BE335" s="21">
        <f t="shared" si="305"/>
        <v>0</v>
      </c>
      <c r="BF335" s="21" t="s">
        <v>2492</v>
      </c>
      <c r="BG335" s="41">
        <v>728</v>
      </c>
    </row>
    <row r="336" spans="1:59" x14ac:dyDescent="0.3">
      <c r="A336" s="4" t="s">
        <v>320</v>
      </c>
      <c r="B336" s="13"/>
      <c r="C336" s="13" t="s">
        <v>1136</v>
      </c>
      <c r="D336" s="101" t="s">
        <v>1821</v>
      </c>
      <c r="E336" s="102"/>
      <c r="F336" s="13" t="s">
        <v>2384</v>
      </c>
      <c r="G336" s="21">
        <v>14</v>
      </c>
      <c r="H336" s="21">
        <v>0</v>
      </c>
      <c r="I336" s="21">
        <f t="shared" si="280"/>
        <v>0</v>
      </c>
      <c r="J336" s="21">
        <f t="shared" si="281"/>
        <v>0</v>
      </c>
      <c r="K336" s="21">
        <f t="shared" si="282"/>
        <v>0</v>
      </c>
      <c r="L336" s="21">
        <v>0</v>
      </c>
      <c r="M336" s="21">
        <f t="shared" si="283"/>
        <v>0</v>
      </c>
      <c r="N336" s="35"/>
      <c r="O336" s="39"/>
      <c r="U336" s="41">
        <f t="shared" si="284"/>
        <v>0</v>
      </c>
      <c r="W336" s="41">
        <f t="shared" si="285"/>
        <v>0</v>
      </c>
      <c r="X336" s="41">
        <f t="shared" si="286"/>
        <v>0</v>
      </c>
      <c r="Y336" s="41">
        <f t="shared" si="287"/>
        <v>0</v>
      </c>
      <c r="Z336" s="41">
        <f t="shared" si="288"/>
        <v>0</v>
      </c>
      <c r="AA336" s="41">
        <f t="shared" si="289"/>
        <v>0</v>
      </c>
      <c r="AB336" s="41">
        <f t="shared" si="290"/>
        <v>0</v>
      </c>
      <c r="AC336" s="41">
        <f t="shared" si="291"/>
        <v>0</v>
      </c>
      <c r="AD336" s="31"/>
      <c r="AE336" s="21">
        <f t="shared" si="292"/>
        <v>0</v>
      </c>
      <c r="AF336" s="21">
        <f t="shared" si="293"/>
        <v>0</v>
      </c>
      <c r="AG336" s="21">
        <f t="shared" si="294"/>
        <v>0</v>
      </c>
      <c r="AI336" s="41">
        <v>21</v>
      </c>
      <c r="AJ336" s="41">
        <f t="shared" si="295"/>
        <v>0</v>
      </c>
      <c r="AK336" s="41">
        <f t="shared" si="296"/>
        <v>0</v>
      </c>
      <c r="AL336" s="42" t="s">
        <v>13</v>
      </c>
      <c r="AQ336" s="41">
        <f t="shared" si="297"/>
        <v>0</v>
      </c>
      <c r="AR336" s="41">
        <f t="shared" si="298"/>
        <v>0</v>
      </c>
      <c r="AS336" s="41">
        <f t="shared" si="299"/>
        <v>0</v>
      </c>
      <c r="AT336" s="44" t="s">
        <v>2438</v>
      </c>
      <c r="AU336" s="44" t="s">
        <v>2480</v>
      </c>
      <c r="AV336" s="31" t="s">
        <v>2486</v>
      </c>
      <c r="AX336" s="41">
        <f t="shared" si="300"/>
        <v>0</v>
      </c>
      <c r="AY336" s="41">
        <f t="shared" si="301"/>
        <v>0</v>
      </c>
      <c r="AZ336" s="41">
        <v>0</v>
      </c>
      <c r="BA336" s="41">
        <f t="shared" si="302"/>
        <v>0</v>
      </c>
      <c r="BC336" s="21">
        <f t="shared" si="303"/>
        <v>0</v>
      </c>
      <c r="BD336" s="21">
        <f t="shared" si="304"/>
        <v>0</v>
      </c>
      <c r="BE336" s="21">
        <f t="shared" si="305"/>
        <v>0</v>
      </c>
      <c r="BF336" s="21" t="s">
        <v>2492</v>
      </c>
      <c r="BG336" s="41">
        <v>728</v>
      </c>
    </row>
    <row r="337" spans="1:59" x14ac:dyDescent="0.3">
      <c r="A337" s="4" t="s">
        <v>321</v>
      </c>
      <c r="B337" s="13"/>
      <c r="C337" s="13" t="s">
        <v>1136</v>
      </c>
      <c r="D337" s="101" t="s">
        <v>1822</v>
      </c>
      <c r="E337" s="102"/>
      <c r="F337" s="13" t="s">
        <v>2384</v>
      </c>
      <c r="G337" s="21">
        <v>3</v>
      </c>
      <c r="H337" s="21">
        <v>0</v>
      </c>
      <c r="I337" s="21">
        <f t="shared" si="280"/>
        <v>0</v>
      </c>
      <c r="J337" s="21">
        <f t="shared" si="281"/>
        <v>0</v>
      </c>
      <c r="K337" s="21">
        <f t="shared" si="282"/>
        <v>0</v>
      </c>
      <c r="L337" s="21">
        <v>0</v>
      </c>
      <c r="M337" s="21">
        <f t="shared" si="283"/>
        <v>0</v>
      </c>
      <c r="N337" s="35"/>
      <c r="O337" s="39"/>
      <c r="U337" s="41">
        <f t="shared" si="284"/>
        <v>0</v>
      </c>
      <c r="W337" s="41">
        <f t="shared" si="285"/>
        <v>0</v>
      </c>
      <c r="X337" s="41">
        <f t="shared" si="286"/>
        <v>0</v>
      </c>
      <c r="Y337" s="41">
        <f t="shared" si="287"/>
        <v>0</v>
      </c>
      <c r="Z337" s="41">
        <f t="shared" si="288"/>
        <v>0</v>
      </c>
      <c r="AA337" s="41">
        <f t="shared" si="289"/>
        <v>0</v>
      </c>
      <c r="AB337" s="41">
        <f t="shared" si="290"/>
        <v>0</v>
      </c>
      <c r="AC337" s="41">
        <f t="shared" si="291"/>
        <v>0</v>
      </c>
      <c r="AD337" s="31"/>
      <c r="AE337" s="21">
        <f t="shared" si="292"/>
        <v>0</v>
      </c>
      <c r="AF337" s="21">
        <f t="shared" si="293"/>
        <v>0</v>
      </c>
      <c r="AG337" s="21">
        <f t="shared" si="294"/>
        <v>0</v>
      </c>
      <c r="AI337" s="41">
        <v>21</v>
      </c>
      <c r="AJ337" s="41">
        <f t="shared" si="295"/>
        <v>0</v>
      </c>
      <c r="AK337" s="41">
        <f t="shared" si="296"/>
        <v>0</v>
      </c>
      <c r="AL337" s="42" t="s">
        <v>13</v>
      </c>
      <c r="AQ337" s="41">
        <f t="shared" si="297"/>
        <v>0</v>
      </c>
      <c r="AR337" s="41">
        <f t="shared" si="298"/>
        <v>0</v>
      </c>
      <c r="AS337" s="41">
        <f t="shared" si="299"/>
        <v>0</v>
      </c>
      <c r="AT337" s="44" t="s">
        <v>2438</v>
      </c>
      <c r="AU337" s="44" t="s">
        <v>2480</v>
      </c>
      <c r="AV337" s="31" t="s">
        <v>2486</v>
      </c>
      <c r="AX337" s="41">
        <f t="shared" si="300"/>
        <v>0</v>
      </c>
      <c r="AY337" s="41">
        <f t="shared" si="301"/>
        <v>0</v>
      </c>
      <c r="AZ337" s="41">
        <v>0</v>
      </c>
      <c r="BA337" s="41">
        <f t="shared" si="302"/>
        <v>0</v>
      </c>
      <c r="BC337" s="21">
        <f t="shared" si="303"/>
        <v>0</v>
      </c>
      <c r="BD337" s="21">
        <f t="shared" si="304"/>
        <v>0</v>
      </c>
      <c r="BE337" s="21">
        <f t="shared" si="305"/>
        <v>0</v>
      </c>
      <c r="BF337" s="21" t="s">
        <v>2492</v>
      </c>
      <c r="BG337" s="41">
        <v>728</v>
      </c>
    </row>
    <row r="338" spans="1:59" x14ac:dyDescent="0.3">
      <c r="A338" s="4" t="s">
        <v>322</v>
      </c>
      <c r="B338" s="13"/>
      <c r="C338" s="13" t="s">
        <v>1136</v>
      </c>
      <c r="D338" s="101" t="s">
        <v>1854</v>
      </c>
      <c r="E338" s="102"/>
      <c r="F338" s="13" t="s">
        <v>2384</v>
      </c>
      <c r="G338" s="21">
        <v>23</v>
      </c>
      <c r="H338" s="21">
        <v>0</v>
      </c>
      <c r="I338" s="21">
        <f t="shared" si="280"/>
        <v>0</v>
      </c>
      <c r="J338" s="21">
        <f t="shared" si="281"/>
        <v>0</v>
      </c>
      <c r="K338" s="21">
        <f t="shared" si="282"/>
        <v>0</v>
      </c>
      <c r="L338" s="21">
        <v>0</v>
      </c>
      <c r="M338" s="21">
        <f t="shared" si="283"/>
        <v>0</v>
      </c>
      <c r="N338" s="35"/>
      <c r="O338" s="39"/>
      <c r="U338" s="41">
        <f t="shared" si="284"/>
        <v>0</v>
      </c>
      <c r="W338" s="41">
        <f t="shared" si="285"/>
        <v>0</v>
      </c>
      <c r="X338" s="41">
        <f t="shared" si="286"/>
        <v>0</v>
      </c>
      <c r="Y338" s="41">
        <f t="shared" si="287"/>
        <v>0</v>
      </c>
      <c r="Z338" s="41">
        <f t="shared" si="288"/>
        <v>0</v>
      </c>
      <c r="AA338" s="41">
        <f t="shared" si="289"/>
        <v>0</v>
      </c>
      <c r="AB338" s="41">
        <f t="shared" si="290"/>
        <v>0</v>
      </c>
      <c r="AC338" s="41">
        <f t="shared" si="291"/>
        <v>0</v>
      </c>
      <c r="AD338" s="31"/>
      <c r="AE338" s="21">
        <f t="shared" si="292"/>
        <v>0</v>
      </c>
      <c r="AF338" s="21">
        <f t="shared" si="293"/>
        <v>0</v>
      </c>
      <c r="AG338" s="21">
        <f t="shared" si="294"/>
        <v>0</v>
      </c>
      <c r="AI338" s="41">
        <v>21</v>
      </c>
      <c r="AJ338" s="41">
        <f t="shared" si="295"/>
        <v>0</v>
      </c>
      <c r="AK338" s="41">
        <f t="shared" si="296"/>
        <v>0</v>
      </c>
      <c r="AL338" s="42" t="s">
        <v>13</v>
      </c>
      <c r="AQ338" s="41">
        <f t="shared" si="297"/>
        <v>0</v>
      </c>
      <c r="AR338" s="41">
        <f t="shared" si="298"/>
        <v>0</v>
      </c>
      <c r="AS338" s="41">
        <f t="shared" si="299"/>
        <v>0</v>
      </c>
      <c r="AT338" s="44" t="s">
        <v>2438</v>
      </c>
      <c r="AU338" s="44" t="s">
        <v>2480</v>
      </c>
      <c r="AV338" s="31" t="s">
        <v>2486</v>
      </c>
      <c r="AX338" s="41">
        <f t="shared" si="300"/>
        <v>0</v>
      </c>
      <c r="AY338" s="41">
        <f t="shared" si="301"/>
        <v>0</v>
      </c>
      <c r="AZ338" s="41">
        <v>0</v>
      </c>
      <c r="BA338" s="41">
        <f t="shared" si="302"/>
        <v>0</v>
      </c>
      <c r="BC338" s="21">
        <f t="shared" si="303"/>
        <v>0</v>
      </c>
      <c r="BD338" s="21">
        <f t="shared" si="304"/>
        <v>0</v>
      </c>
      <c r="BE338" s="21">
        <f t="shared" si="305"/>
        <v>0</v>
      </c>
      <c r="BF338" s="21" t="s">
        <v>2492</v>
      </c>
      <c r="BG338" s="41">
        <v>728</v>
      </c>
    </row>
    <row r="339" spans="1:59" x14ac:dyDescent="0.3">
      <c r="A339" s="4" t="s">
        <v>323</v>
      </c>
      <c r="B339" s="13"/>
      <c r="C339" s="13" t="s">
        <v>1136</v>
      </c>
      <c r="D339" s="101" t="s">
        <v>1861</v>
      </c>
      <c r="E339" s="102"/>
      <c r="F339" s="13" t="s">
        <v>2384</v>
      </c>
      <c r="G339" s="21">
        <v>1</v>
      </c>
      <c r="H339" s="21">
        <v>0</v>
      </c>
      <c r="I339" s="21">
        <f t="shared" si="280"/>
        <v>0</v>
      </c>
      <c r="J339" s="21">
        <f t="shared" si="281"/>
        <v>0</v>
      </c>
      <c r="K339" s="21">
        <f t="shared" si="282"/>
        <v>0</v>
      </c>
      <c r="L339" s="21">
        <v>0</v>
      </c>
      <c r="M339" s="21">
        <f t="shared" si="283"/>
        <v>0</v>
      </c>
      <c r="N339" s="35"/>
      <c r="O339" s="39"/>
      <c r="U339" s="41">
        <f t="shared" si="284"/>
        <v>0</v>
      </c>
      <c r="W339" s="41">
        <f t="shared" si="285"/>
        <v>0</v>
      </c>
      <c r="X339" s="41">
        <f t="shared" si="286"/>
        <v>0</v>
      </c>
      <c r="Y339" s="41">
        <f t="shared" si="287"/>
        <v>0</v>
      </c>
      <c r="Z339" s="41">
        <f t="shared" si="288"/>
        <v>0</v>
      </c>
      <c r="AA339" s="41">
        <f t="shared" si="289"/>
        <v>0</v>
      </c>
      <c r="AB339" s="41">
        <f t="shared" si="290"/>
        <v>0</v>
      </c>
      <c r="AC339" s="41">
        <f t="shared" si="291"/>
        <v>0</v>
      </c>
      <c r="AD339" s="31"/>
      <c r="AE339" s="21">
        <f t="shared" si="292"/>
        <v>0</v>
      </c>
      <c r="AF339" s="21">
        <f t="shared" si="293"/>
        <v>0</v>
      </c>
      <c r="AG339" s="21">
        <f t="shared" si="294"/>
        <v>0</v>
      </c>
      <c r="AI339" s="41">
        <v>21</v>
      </c>
      <c r="AJ339" s="41">
        <f t="shared" si="295"/>
        <v>0</v>
      </c>
      <c r="AK339" s="41">
        <f t="shared" si="296"/>
        <v>0</v>
      </c>
      <c r="AL339" s="42" t="s">
        <v>13</v>
      </c>
      <c r="AQ339" s="41">
        <f t="shared" si="297"/>
        <v>0</v>
      </c>
      <c r="AR339" s="41">
        <f t="shared" si="298"/>
        <v>0</v>
      </c>
      <c r="AS339" s="41">
        <f t="shared" si="299"/>
        <v>0</v>
      </c>
      <c r="AT339" s="44" t="s">
        <v>2438</v>
      </c>
      <c r="AU339" s="44" t="s">
        <v>2480</v>
      </c>
      <c r="AV339" s="31" t="s">
        <v>2486</v>
      </c>
      <c r="AX339" s="41">
        <f t="shared" si="300"/>
        <v>0</v>
      </c>
      <c r="AY339" s="41">
        <f t="shared" si="301"/>
        <v>0</v>
      </c>
      <c r="AZ339" s="41">
        <v>0</v>
      </c>
      <c r="BA339" s="41">
        <f t="shared" si="302"/>
        <v>0</v>
      </c>
      <c r="BC339" s="21">
        <f t="shared" si="303"/>
        <v>0</v>
      </c>
      <c r="BD339" s="21">
        <f t="shared" si="304"/>
        <v>0</v>
      </c>
      <c r="BE339" s="21">
        <f t="shared" si="305"/>
        <v>0</v>
      </c>
      <c r="BF339" s="21" t="s">
        <v>2492</v>
      </c>
      <c r="BG339" s="41">
        <v>728</v>
      </c>
    </row>
    <row r="340" spans="1:59" x14ac:dyDescent="0.3">
      <c r="A340" s="4" t="s">
        <v>324</v>
      </c>
      <c r="B340" s="13"/>
      <c r="C340" s="13" t="s">
        <v>1136</v>
      </c>
      <c r="D340" s="101" t="s">
        <v>1828</v>
      </c>
      <c r="E340" s="102"/>
      <c r="F340" s="13" t="s">
        <v>2384</v>
      </c>
      <c r="G340" s="21">
        <v>1</v>
      </c>
      <c r="H340" s="21">
        <v>0</v>
      </c>
      <c r="I340" s="21">
        <f t="shared" si="280"/>
        <v>0</v>
      </c>
      <c r="J340" s="21">
        <f t="shared" si="281"/>
        <v>0</v>
      </c>
      <c r="K340" s="21">
        <f t="shared" si="282"/>
        <v>0</v>
      </c>
      <c r="L340" s="21">
        <v>0</v>
      </c>
      <c r="M340" s="21">
        <f t="shared" si="283"/>
        <v>0</v>
      </c>
      <c r="N340" s="35"/>
      <c r="O340" s="39"/>
      <c r="U340" s="41">
        <f t="shared" si="284"/>
        <v>0</v>
      </c>
      <c r="W340" s="41">
        <f t="shared" si="285"/>
        <v>0</v>
      </c>
      <c r="X340" s="41">
        <f t="shared" si="286"/>
        <v>0</v>
      </c>
      <c r="Y340" s="41">
        <f t="shared" si="287"/>
        <v>0</v>
      </c>
      <c r="Z340" s="41">
        <f t="shared" si="288"/>
        <v>0</v>
      </c>
      <c r="AA340" s="41">
        <f t="shared" si="289"/>
        <v>0</v>
      </c>
      <c r="AB340" s="41">
        <f t="shared" si="290"/>
        <v>0</v>
      </c>
      <c r="AC340" s="41">
        <f t="shared" si="291"/>
        <v>0</v>
      </c>
      <c r="AD340" s="31"/>
      <c r="AE340" s="21">
        <f t="shared" si="292"/>
        <v>0</v>
      </c>
      <c r="AF340" s="21">
        <f t="shared" si="293"/>
        <v>0</v>
      </c>
      <c r="AG340" s="21">
        <f t="shared" si="294"/>
        <v>0</v>
      </c>
      <c r="AI340" s="41">
        <v>21</v>
      </c>
      <c r="AJ340" s="41">
        <f t="shared" si="295"/>
        <v>0</v>
      </c>
      <c r="AK340" s="41">
        <f t="shared" si="296"/>
        <v>0</v>
      </c>
      <c r="AL340" s="42" t="s">
        <v>13</v>
      </c>
      <c r="AQ340" s="41">
        <f t="shared" si="297"/>
        <v>0</v>
      </c>
      <c r="AR340" s="41">
        <f t="shared" si="298"/>
        <v>0</v>
      </c>
      <c r="AS340" s="41">
        <f t="shared" si="299"/>
        <v>0</v>
      </c>
      <c r="AT340" s="44" t="s">
        <v>2438</v>
      </c>
      <c r="AU340" s="44" t="s">
        <v>2480</v>
      </c>
      <c r="AV340" s="31" t="s">
        <v>2486</v>
      </c>
      <c r="AX340" s="41">
        <f t="shared" si="300"/>
        <v>0</v>
      </c>
      <c r="AY340" s="41">
        <f t="shared" si="301"/>
        <v>0</v>
      </c>
      <c r="AZ340" s="41">
        <v>0</v>
      </c>
      <c r="BA340" s="41">
        <f t="shared" si="302"/>
        <v>0</v>
      </c>
      <c r="BC340" s="21">
        <f t="shared" si="303"/>
        <v>0</v>
      </c>
      <c r="BD340" s="21">
        <f t="shared" si="304"/>
        <v>0</v>
      </c>
      <c r="BE340" s="21">
        <f t="shared" si="305"/>
        <v>0</v>
      </c>
      <c r="BF340" s="21" t="s">
        <v>2492</v>
      </c>
      <c r="BG340" s="41">
        <v>728</v>
      </c>
    </row>
    <row r="341" spans="1:59" x14ac:dyDescent="0.3">
      <c r="A341" s="4" t="s">
        <v>325</v>
      </c>
      <c r="B341" s="13"/>
      <c r="C341" s="13" t="s">
        <v>1136</v>
      </c>
      <c r="D341" s="101" t="s">
        <v>1828</v>
      </c>
      <c r="E341" s="102"/>
      <c r="F341" s="13" t="s">
        <v>2384</v>
      </c>
      <c r="G341" s="21">
        <v>1</v>
      </c>
      <c r="H341" s="21">
        <v>0</v>
      </c>
      <c r="I341" s="21">
        <f t="shared" si="280"/>
        <v>0</v>
      </c>
      <c r="J341" s="21">
        <f t="shared" si="281"/>
        <v>0</v>
      </c>
      <c r="K341" s="21">
        <f t="shared" si="282"/>
        <v>0</v>
      </c>
      <c r="L341" s="21">
        <v>0</v>
      </c>
      <c r="M341" s="21">
        <f t="shared" si="283"/>
        <v>0</v>
      </c>
      <c r="N341" s="35"/>
      <c r="O341" s="39"/>
      <c r="U341" s="41">
        <f t="shared" si="284"/>
        <v>0</v>
      </c>
      <c r="W341" s="41">
        <f t="shared" si="285"/>
        <v>0</v>
      </c>
      <c r="X341" s="41">
        <f t="shared" si="286"/>
        <v>0</v>
      </c>
      <c r="Y341" s="41">
        <f t="shared" si="287"/>
        <v>0</v>
      </c>
      <c r="Z341" s="41">
        <f t="shared" si="288"/>
        <v>0</v>
      </c>
      <c r="AA341" s="41">
        <f t="shared" si="289"/>
        <v>0</v>
      </c>
      <c r="AB341" s="41">
        <f t="shared" si="290"/>
        <v>0</v>
      </c>
      <c r="AC341" s="41">
        <f t="shared" si="291"/>
        <v>0</v>
      </c>
      <c r="AD341" s="31"/>
      <c r="AE341" s="21">
        <f t="shared" si="292"/>
        <v>0</v>
      </c>
      <c r="AF341" s="21">
        <f t="shared" si="293"/>
        <v>0</v>
      </c>
      <c r="AG341" s="21">
        <f t="shared" si="294"/>
        <v>0</v>
      </c>
      <c r="AI341" s="41">
        <v>21</v>
      </c>
      <c r="AJ341" s="41">
        <f t="shared" si="295"/>
        <v>0</v>
      </c>
      <c r="AK341" s="41">
        <f t="shared" si="296"/>
        <v>0</v>
      </c>
      <c r="AL341" s="42" t="s">
        <v>13</v>
      </c>
      <c r="AQ341" s="41">
        <f t="shared" si="297"/>
        <v>0</v>
      </c>
      <c r="AR341" s="41">
        <f t="shared" si="298"/>
        <v>0</v>
      </c>
      <c r="AS341" s="41">
        <f t="shared" si="299"/>
        <v>0</v>
      </c>
      <c r="AT341" s="44" t="s">
        <v>2438</v>
      </c>
      <c r="AU341" s="44" t="s">
        <v>2480</v>
      </c>
      <c r="AV341" s="31" t="s">
        <v>2486</v>
      </c>
      <c r="AX341" s="41">
        <f t="shared" si="300"/>
        <v>0</v>
      </c>
      <c r="AY341" s="41">
        <f t="shared" si="301"/>
        <v>0</v>
      </c>
      <c r="AZ341" s="41">
        <v>0</v>
      </c>
      <c r="BA341" s="41">
        <f t="shared" si="302"/>
        <v>0</v>
      </c>
      <c r="BC341" s="21">
        <f t="shared" si="303"/>
        <v>0</v>
      </c>
      <c r="BD341" s="21">
        <f t="shared" si="304"/>
        <v>0</v>
      </c>
      <c r="BE341" s="21">
        <f t="shared" si="305"/>
        <v>0</v>
      </c>
      <c r="BF341" s="21" t="s">
        <v>2492</v>
      </c>
      <c r="BG341" s="41">
        <v>728</v>
      </c>
    </row>
    <row r="342" spans="1:59" x14ac:dyDescent="0.3">
      <c r="A342" s="4" t="s">
        <v>326</v>
      </c>
      <c r="B342" s="13"/>
      <c r="C342" s="13" t="s">
        <v>1136</v>
      </c>
      <c r="D342" s="101" t="s">
        <v>1862</v>
      </c>
      <c r="E342" s="102"/>
      <c r="F342" s="13" t="s">
        <v>2384</v>
      </c>
      <c r="G342" s="21">
        <v>3</v>
      </c>
      <c r="H342" s="21">
        <v>0</v>
      </c>
      <c r="I342" s="21">
        <f t="shared" si="280"/>
        <v>0</v>
      </c>
      <c r="J342" s="21">
        <f t="shared" si="281"/>
        <v>0</v>
      </c>
      <c r="K342" s="21">
        <f t="shared" si="282"/>
        <v>0</v>
      </c>
      <c r="L342" s="21">
        <v>0</v>
      </c>
      <c r="M342" s="21">
        <f t="shared" si="283"/>
        <v>0</v>
      </c>
      <c r="N342" s="35"/>
      <c r="O342" s="39"/>
      <c r="U342" s="41">
        <f t="shared" si="284"/>
        <v>0</v>
      </c>
      <c r="W342" s="41">
        <f t="shared" si="285"/>
        <v>0</v>
      </c>
      <c r="X342" s="41">
        <f t="shared" si="286"/>
        <v>0</v>
      </c>
      <c r="Y342" s="41">
        <f t="shared" si="287"/>
        <v>0</v>
      </c>
      <c r="Z342" s="41">
        <f t="shared" si="288"/>
        <v>0</v>
      </c>
      <c r="AA342" s="41">
        <f t="shared" si="289"/>
        <v>0</v>
      </c>
      <c r="AB342" s="41">
        <f t="shared" si="290"/>
        <v>0</v>
      </c>
      <c r="AC342" s="41">
        <f t="shared" si="291"/>
        <v>0</v>
      </c>
      <c r="AD342" s="31"/>
      <c r="AE342" s="21">
        <f t="shared" si="292"/>
        <v>0</v>
      </c>
      <c r="AF342" s="21">
        <f t="shared" si="293"/>
        <v>0</v>
      </c>
      <c r="AG342" s="21">
        <f t="shared" si="294"/>
        <v>0</v>
      </c>
      <c r="AI342" s="41">
        <v>21</v>
      </c>
      <c r="AJ342" s="41">
        <f t="shared" si="295"/>
        <v>0</v>
      </c>
      <c r="AK342" s="41">
        <f t="shared" si="296"/>
        <v>0</v>
      </c>
      <c r="AL342" s="42" t="s">
        <v>13</v>
      </c>
      <c r="AQ342" s="41">
        <f t="shared" si="297"/>
        <v>0</v>
      </c>
      <c r="AR342" s="41">
        <f t="shared" si="298"/>
        <v>0</v>
      </c>
      <c r="AS342" s="41">
        <f t="shared" si="299"/>
        <v>0</v>
      </c>
      <c r="AT342" s="44" t="s">
        <v>2438</v>
      </c>
      <c r="AU342" s="44" t="s">
        <v>2480</v>
      </c>
      <c r="AV342" s="31" t="s">
        <v>2486</v>
      </c>
      <c r="AX342" s="41">
        <f t="shared" si="300"/>
        <v>0</v>
      </c>
      <c r="AY342" s="41">
        <f t="shared" si="301"/>
        <v>0</v>
      </c>
      <c r="AZ342" s="41">
        <v>0</v>
      </c>
      <c r="BA342" s="41">
        <f t="shared" si="302"/>
        <v>0</v>
      </c>
      <c r="BC342" s="21">
        <f t="shared" si="303"/>
        <v>0</v>
      </c>
      <c r="BD342" s="21">
        <f t="shared" si="304"/>
        <v>0</v>
      </c>
      <c r="BE342" s="21">
        <f t="shared" si="305"/>
        <v>0</v>
      </c>
      <c r="BF342" s="21" t="s">
        <v>2492</v>
      </c>
      <c r="BG342" s="41">
        <v>728</v>
      </c>
    </row>
    <row r="343" spans="1:59" x14ac:dyDescent="0.3">
      <c r="A343" s="4" t="s">
        <v>327</v>
      </c>
      <c r="B343" s="13"/>
      <c r="C343" s="13" t="s">
        <v>1136</v>
      </c>
      <c r="D343" s="101" t="s">
        <v>1826</v>
      </c>
      <c r="E343" s="102"/>
      <c r="F343" s="13" t="s">
        <v>2384</v>
      </c>
      <c r="G343" s="21">
        <v>1</v>
      </c>
      <c r="H343" s="21">
        <v>0</v>
      </c>
      <c r="I343" s="21">
        <f t="shared" si="280"/>
        <v>0</v>
      </c>
      <c r="J343" s="21">
        <f t="shared" si="281"/>
        <v>0</v>
      </c>
      <c r="K343" s="21">
        <f t="shared" si="282"/>
        <v>0</v>
      </c>
      <c r="L343" s="21">
        <v>0</v>
      </c>
      <c r="M343" s="21">
        <f t="shared" si="283"/>
        <v>0</v>
      </c>
      <c r="N343" s="35"/>
      <c r="O343" s="39"/>
      <c r="U343" s="41">
        <f t="shared" si="284"/>
        <v>0</v>
      </c>
      <c r="W343" s="41">
        <f t="shared" si="285"/>
        <v>0</v>
      </c>
      <c r="X343" s="41">
        <f t="shared" si="286"/>
        <v>0</v>
      </c>
      <c r="Y343" s="41">
        <f t="shared" si="287"/>
        <v>0</v>
      </c>
      <c r="Z343" s="41">
        <f t="shared" si="288"/>
        <v>0</v>
      </c>
      <c r="AA343" s="41">
        <f t="shared" si="289"/>
        <v>0</v>
      </c>
      <c r="AB343" s="41">
        <f t="shared" si="290"/>
        <v>0</v>
      </c>
      <c r="AC343" s="41">
        <f t="shared" si="291"/>
        <v>0</v>
      </c>
      <c r="AD343" s="31"/>
      <c r="AE343" s="21">
        <f t="shared" si="292"/>
        <v>0</v>
      </c>
      <c r="AF343" s="21">
        <f t="shared" si="293"/>
        <v>0</v>
      </c>
      <c r="AG343" s="21">
        <f t="shared" si="294"/>
        <v>0</v>
      </c>
      <c r="AI343" s="41">
        <v>21</v>
      </c>
      <c r="AJ343" s="41">
        <f t="shared" si="295"/>
        <v>0</v>
      </c>
      <c r="AK343" s="41">
        <f t="shared" si="296"/>
        <v>0</v>
      </c>
      <c r="AL343" s="42" t="s">
        <v>13</v>
      </c>
      <c r="AQ343" s="41">
        <f t="shared" si="297"/>
        <v>0</v>
      </c>
      <c r="AR343" s="41">
        <f t="shared" si="298"/>
        <v>0</v>
      </c>
      <c r="AS343" s="41">
        <f t="shared" si="299"/>
        <v>0</v>
      </c>
      <c r="AT343" s="44" t="s">
        <v>2438</v>
      </c>
      <c r="AU343" s="44" t="s">
        <v>2480</v>
      </c>
      <c r="AV343" s="31" t="s">
        <v>2486</v>
      </c>
      <c r="AX343" s="41">
        <f t="shared" si="300"/>
        <v>0</v>
      </c>
      <c r="AY343" s="41">
        <f t="shared" si="301"/>
        <v>0</v>
      </c>
      <c r="AZ343" s="41">
        <v>0</v>
      </c>
      <c r="BA343" s="41">
        <f t="shared" si="302"/>
        <v>0</v>
      </c>
      <c r="BC343" s="21">
        <f t="shared" si="303"/>
        <v>0</v>
      </c>
      <c r="BD343" s="21">
        <f t="shared" si="304"/>
        <v>0</v>
      </c>
      <c r="BE343" s="21">
        <f t="shared" si="305"/>
        <v>0</v>
      </c>
      <c r="BF343" s="21" t="s">
        <v>2492</v>
      </c>
      <c r="BG343" s="41">
        <v>728</v>
      </c>
    </row>
    <row r="344" spans="1:59" x14ac:dyDescent="0.3">
      <c r="A344" s="4" t="s">
        <v>328</v>
      </c>
      <c r="B344" s="13"/>
      <c r="C344" s="13" t="s">
        <v>1136</v>
      </c>
      <c r="D344" s="101" t="s">
        <v>1830</v>
      </c>
      <c r="E344" s="102"/>
      <c r="F344" s="13" t="s">
        <v>2387</v>
      </c>
      <c r="G344" s="21">
        <v>113</v>
      </c>
      <c r="H344" s="21">
        <v>0</v>
      </c>
      <c r="I344" s="21">
        <f t="shared" si="280"/>
        <v>0</v>
      </c>
      <c r="J344" s="21">
        <f t="shared" si="281"/>
        <v>0</v>
      </c>
      <c r="K344" s="21">
        <f t="shared" si="282"/>
        <v>0</v>
      </c>
      <c r="L344" s="21">
        <v>0</v>
      </c>
      <c r="M344" s="21">
        <f t="shared" si="283"/>
        <v>0</v>
      </c>
      <c r="N344" s="35"/>
      <c r="O344" s="39"/>
      <c r="U344" s="41">
        <f t="shared" si="284"/>
        <v>0</v>
      </c>
      <c r="W344" s="41">
        <f t="shared" si="285"/>
        <v>0</v>
      </c>
      <c r="X344" s="41">
        <f t="shared" si="286"/>
        <v>0</v>
      </c>
      <c r="Y344" s="41">
        <f t="shared" si="287"/>
        <v>0</v>
      </c>
      <c r="Z344" s="41">
        <f t="shared" si="288"/>
        <v>0</v>
      </c>
      <c r="AA344" s="41">
        <f t="shared" si="289"/>
        <v>0</v>
      </c>
      <c r="AB344" s="41">
        <f t="shared" si="290"/>
        <v>0</v>
      </c>
      <c r="AC344" s="41">
        <f t="shared" si="291"/>
        <v>0</v>
      </c>
      <c r="AD344" s="31"/>
      <c r="AE344" s="21">
        <f t="shared" si="292"/>
        <v>0</v>
      </c>
      <c r="AF344" s="21">
        <f t="shared" si="293"/>
        <v>0</v>
      </c>
      <c r="AG344" s="21">
        <f t="shared" si="294"/>
        <v>0</v>
      </c>
      <c r="AI344" s="41">
        <v>21</v>
      </c>
      <c r="AJ344" s="41">
        <f t="shared" si="295"/>
        <v>0</v>
      </c>
      <c r="AK344" s="41">
        <f t="shared" si="296"/>
        <v>0</v>
      </c>
      <c r="AL344" s="42" t="s">
        <v>13</v>
      </c>
      <c r="AQ344" s="41">
        <f t="shared" si="297"/>
        <v>0</v>
      </c>
      <c r="AR344" s="41">
        <f t="shared" si="298"/>
        <v>0</v>
      </c>
      <c r="AS344" s="41">
        <f t="shared" si="299"/>
        <v>0</v>
      </c>
      <c r="AT344" s="44" t="s">
        <v>2438</v>
      </c>
      <c r="AU344" s="44" t="s">
        <v>2480</v>
      </c>
      <c r="AV344" s="31" t="s">
        <v>2486</v>
      </c>
      <c r="AX344" s="41">
        <f t="shared" si="300"/>
        <v>0</v>
      </c>
      <c r="AY344" s="41">
        <f t="shared" si="301"/>
        <v>0</v>
      </c>
      <c r="AZ344" s="41">
        <v>0</v>
      </c>
      <c r="BA344" s="41">
        <f t="shared" si="302"/>
        <v>0</v>
      </c>
      <c r="BC344" s="21">
        <f t="shared" si="303"/>
        <v>0</v>
      </c>
      <c r="BD344" s="21">
        <f t="shared" si="304"/>
        <v>0</v>
      </c>
      <c r="BE344" s="21">
        <f t="shared" si="305"/>
        <v>0</v>
      </c>
      <c r="BF344" s="21" t="s">
        <v>2492</v>
      </c>
      <c r="BG344" s="41">
        <v>728</v>
      </c>
    </row>
    <row r="345" spans="1:59" x14ac:dyDescent="0.3">
      <c r="A345" s="4" t="s">
        <v>329</v>
      </c>
      <c r="B345" s="13"/>
      <c r="C345" s="13" t="s">
        <v>1136</v>
      </c>
      <c r="D345" s="101" t="s">
        <v>1831</v>
      </c>
      <c r="E345" s="102"/>
      <c r="F345" s="13" t="s">
        <v>2394</v>
      </c>
      <c r="G345" s="21">
        <v>6</v>
      </c>
      <c r="H345" s="21">
        <v>0</v>
      </c>
      <c r="I345" s="21">
        <f t="shared" si="280"/>
        <v>0</v>
      </c>
      <c r="J345" s="21">
        <f t="shared" si="281"/>
        <v>0</v>
      </c>
      <c r="K345" s="21">
        <f t="shared" si="282"/>
        <v>0</v>
      </c>
      <c r="L345" s="21">
        <v>0</v>
      </c>
      <c r="M345" s="21">
        <f t="shared" si="283"/>
        <v>0</v>
      </c>
      <c r="N345" s="35"/>
      <c r="O345" s="39"/>
      <c r="U345" s="41">
        <f t="shared" si="284"/>
        <v>0</v>
      </c>
      <c r="W345" s="41">
        <f t="shared" si="285"/>
        <v>0</v>
      </c>
      <c r="X345" s="41">
        <f t="shared" si="286"/>
        <v>0</v>
      </c>
      <c r="Y345" s="41">
        <f t="shared" si="287"/>
        <v>0</v>
      </c>
      <c r="Z345" s="41">
        <f t="shared" si="288"/>
        <v>0</v>
      </c>
      <c r="AA345" s="41">
        <f t="shared" si="289"/>
        <v>0</v>
      </c>
      <c r="AB345" s="41">
        <f t="shared" si="290"/>
        <v>0</v>
      </c>
      <c r="AC345" s="41">
        <f t="shared" si="291"/>
        <v>0</v>
      </c>
      <c r="AD345" s="31"/>
      <c r="AE345" s="21">
        <f t="shared" si="292"/>
        <v>0</v>
      </c>
      <c r="AF345" s="21">
        <f t="shared" si="293"/>
        <v>0</v>
      </c>
      <c r="AG345" s="21">
        <f t="shared" si="294"/>
        <v>0</v>
      </c>
      <c r="AI345" s="41">
        <v>21</v>
      </c>
      <c r="AJ345" s="41">
        <f t="shared" si="295"/>
        <v>0</v>
      </c>
      <c r="AK345" s="41">
        <f t="shared" si="296"/>
        <v>0</v>
      </c>
      <c r="AL345" s="42" t="s">
        <v>13</v>
      </c>
      <c r="AQ345" s="41">
        <f t="shared" si="297"/>
        <v>0</v>
      </c>
      <c r="AR345" s="41">
        <f t="shared" si="298"/>
        <v>0</v>
      </c>
      <c r="AS345" s="41">
        <f t="shared" si="299"/>
        <v>0</v>
      </c>
      <c r="AT345" s="44" t="s">
        <v>2438</v>
      </c>
      <c r="AU345" s="44" t="s">
        <v>2480</v>
      </c>
      <c r="AV345" s="31" t="s">
        <v>2486</v>
      </c>
      <c r="AX345" s="41">
        <f t="shared" si="300"/>
        <v>0</v>
      </c>
      <c r="AY345" s="41">
        <f t="shared" si="301"/>
        <v>0</v>
      </c>
      <c r="AZ345" s="41">
        <v>0</v>
      </c>
      <c r="BA345" s="41">
        <f t="shared" si="302"/>
        <v>0</v>
      </c>
      <c r="BC345" s="21">
        <f t="shared" si="303"/>
        <v>0</v>
      </c>
      <c r="BD345" s="21">
        <f t="shared" si="304"/>
        <v>0</v>
      </c>
      <c r="BE345" s="21">
        <f t="shared" si="305"/>
        <v>0</v>
      </c>
      <c r="BF345" s="21" t="s">
        <v>2492</v>
      </c>
      <c r="BG345" s="41">
        <v>728</v>
      </c>
    </row>
    <row r="346" spans="1:59" x14ac:dyDescent="0.3">
      <c r="A346" s="4" t="s">
        <v>330</v>
      </c>
      <c r="B346" s="13"/>
      <c r="C346" s="13" t="s">
        <v>1136</v>
      </c>
      <c r="D346" s="101" t="s">
        <v>1832</v>
      </c>
      <c r="E346" s="102"/>
      <c r="F346" s="13" t="s">
        <v>2394</v>
      </c>
      <c r="G346" s="21">
        <v>21</v>
      </c>
      <c r="H346" s="21">
        <v>0</v>
      </c>
      <c r="I346" s="21">
        <f t="shared" si="280"/>
        <v>0</v>
      </c>
      <c r="J346" s="21">
        <f t="shared" si="281"/>
        <v>0</v>
      </c>
      <c r="K346" s="21">
        <f t="shared" si="282"/>
        <v>0</v>
      </c>
      <c r="L346" s="21">
        <v>0</v>
      </c>
      <c r="M346" s="21">
        <f t="shared" si="283"/>
        <v>0</v>
      </c>
      <c r="N346" s="35"/>
      <c r="O346" s="39"/>
      <c r="U346" s="41">
        <f t="shared" si="284"/>
        <v>0</v>
      </c>
      <c r="W346" s="41">
        <f t="shared" si="285"/>
        <v>0</v>
      </c>
      <c r="X346" s="41">
        <f t="shared" si="286"/>
        <v>0</v>
      </c>
      <c r="Y346" s="41">
        <f t="shared" si="287"/>
        <v>0</v>
      </c>
      <c r="Z346" s="41">
        <f t="shared" si="288"/>
        <v>0</v>
      </c>
      <c r="AA346" s="41">
        <f t="shared" si="289"/>
        <v>0</v>
      </c>
      <c r="AB346" s="41">
        <f t="shared" si="290"/>
        <v>0</v>
      </c>
      <c r="AC346" s="41">
        <f t="shared" si="291"/>
        <v>0</v>
      </c>
      <c r="AD346" s="31"/>
      <c r="AE346" s="21">
        <f t="shared" si="292"/>
        <v>0</v>
      </c>
      <c r="AF346" s="21">
        <f t="shared" si="293"/>
        <v>0</v>
      </c>
      <c r="AG346" s="21">
        <f t="shared" si="294"/>
        <v>0</v>
      </c>
      <c r="AI346" s="41">
        <v>21</v>
      </c>
      <c r="AJ346" s="41">
        <f t="shared" si="295"/>
        <v>0</v>
      </c>
      <c r="AK346" s="41">
        <f t="shared" si="296"/>
        <v>0</v>
      </c>
      <c r="AL346" s="42" t="s">
        <v>13</v>
      </c>
      <c r="AQ346" s="41">
        <f t="shared" si="297"/>
        <v>0</v>
      </c>
      <c r="AR346" s="41">
        <f t="shared" si="298"/>
        <v>0</v>
      </c>
      <c r="AS346" s="41">
        <f t="shared" si="299"/>
        <v>0</v>
      </c>
      <c r="AT346" s="44" t="s">
        <v>2438</v>
      </c>
      <c r="AU346" s="44" t="s">
        <v>2480</v>
      </c>
      <c r="AV346" s="31" t="s">
        <v>2486</v>
      </c>
      <c r="AX346" s="41">
        <f t="shared" si="300"/>
        <v>0</v>
      </c>
      <c r="AY346" s="41">
        <f t="shared" si="301"/>
        <v>0</v>
      </c>
      <c r="AZ346" s="41">
        <v>0</v>
      </c>
      <c r="BA346" s="41">
        <f t="shared" si="302"/>
        <v>0</v>
      </c>
      <c r="BC346" s="21">
        <f t="shared" si="303"/>
        <v>0</v>
      </c>
      <c r="BD346" s="21">
        <f t="shared" si="304"/>
        <v>0</v>
      </c>
      <c r="BE346" s="21">
        <f t="shared" si="305"/>
        <v>0</v>
      </c>
      <c r="BF346" s="21" t="s">
        <v>2492</v>
      </c>
      <c r="BG346" s="41">
        <v>728</v>
      </c>
    </row>
    <row r="347" spans="1:59" x14ac:dyDescent="0.3">
      <c r="A347" s="4" t="s">
        <v>331</v>
      </c>
      <c r="B347" s="13"/>
      <c r="C347" s="13" t="s">
        <v>1136</v>
      </c>
      <c r="D347" s="101" t="s">
        <v>1833</v>
      </c>
      <c r="E347" s="102"/>
      <c r="F347" s="13" t="s">
        <v>2394</v>
      </c>
      <c r="G347" s="21">
        <v>54</v>
      </c>
      <c r="H347" s="21">
        <v>0</v>
      </c>
      <c r="I347" s="21">
        <f t="shared" si="280"/>
        <v>0</v>
      </c>
      <c r="J347" s="21">
        <f t="shared" si="281"/>
        <v>0</v>
      </c>
      <c r="K347" s="21">
        <f t="shared" si="282"/>
        <v>0</v>
      </c>
      <c r="L347" s="21">
        <v>0</v>
      </c>
      <c r="M347" s="21">
        <f t="shared" si="283"/>
        <v>0</v>
      </c>
      <c r="N347" s="35"/>
      <c r="O347" s="39"/>
      <c r="U347" s="41">
        <f t="shared" si="284"/>
        <v>0</v>
      </c>
      <c r="W347" s="41">
        <f t="shared" si="285"/>
        <v>0</v>
      </c>
      <c r="X347" s="41">
        <f t="shared" si="286"/>
        <v>0</v>
      </c>
      <c r="Y347" s="41">
        <f t="shared" si="287"/>
        <v>0</v>
      </c>
      <c r="Z347" s="41">
        <f t="shared" si="288"/>
        <v>0</v>
      </c>
      <c r="AA347" s="41">
        <f t="shared" si="289"/>
        <v>0</v>
      </c>
      <c r="AB347" s="41">
        <f t="shared" si="290"/>
        <v>0</v>
      </c>
      <c r="AC347" s="41">
        <f t="shared" si="291"/>
        <v>0</v>
      </c>
      <c r="AD347" s="31"/>
      <c r="AE347" s="21">
        <f t="shared" si="292"/>
        <v>0</v>
      </c>
      <c r="AF347" s="21">
        <f t="shared" si="293"/>
        <v>0</v>
      </c>
      <c r="AG347" s="21">
        <f t="shared" si="294"/>
        <v>0</v>
      </c>
      <c r="AI347" s="41">
        <v>21</v>
      </c>
      <c r="AJ347" s="41">
        <f t="shared" si="295"/>
        <v>0</v>
      </c>
      <c r="AK347" s="41">
        <f t="shared" si="296"/>
        <v>0</v>
      </c>
      <c r="AL347" s="42" t="s">
        <v>13</v>
      </c>
      <c r="AQ347" s="41">
        <f t="shared" si="297"/>
        <v>0</v>
      </c>
      <c r="AR347" s="41">
        <f t="shared" si="298"/>
        <v>0</v>
      </c>
      <c r="AS347" s="41">
        <f t="shared" si="299"/>
        <v>0</v>
      </c>
      <c r="AT347" s="44" t="s">
        <v>2438</v>
      </c>
      <c r="AU347" s="44" t="s">
        <v>2480</v>
      </c>
      <c r="AV347" s="31" t="s">
        <v>2486</v>
      </c>
      <c r="AX347" s="41">
        <f t="shared" si="300"/>
        <v>0</v>
      </c>
      <c r="AY347" s="41">
        <f t="shared" si="301"/>
        <v>0</v>
      </c>
      <c r="AZ347" s="41">
        <v>0</v>
      </c>
      <c r="BA347" s="41">
        <f t="shared" si="302"/>
        <v>0</v>
      </c>
      <c r="BC347" s="21">
        <f t="shared" si="303"/>
        <v>0</v>
      </c>
      <c r="BD347" s="21">
        <f t="shared" si="304"/>
        <v>0</v>
      </c>
      <c r="BE347" s="21">
        <f t="shared" si="305"/>
        <v>0</v>
      </c>
      <c r="BF347" s="21" t="s">
        <v>2492</v>
      </c>
      <c r="BG347" s="41">
        <v>728</v>
      </c>
    </row>
    <row r="348" spans="1:59" x14ac:dyDescent="0.3">
      <c r="A348" s="4" t="s">
        <v>332</v>
      </c>
      <c r="B348" s="13"/>
      <c r="C348" s="13" t="s">
        <v>1136</v>
      </c>
      <c r="D348" s="101" t="s">
        <v>1834</v>
      </c>
      <c r="E348" s="102"/>
      <c r="F348" s="13" t="s">
        <v>2394</v>
      </c>
      <c r="G348" s="21">
        <v>39</v>
      </c>
      <c r="H348" s="21">
        <v>0</v>
      </c>
      <c r="I348" s="21">
        <f t="shared" si="280"/>
        <v>0</v>
      </c>
      <c r="J348" s="21">
        <f t="shared" si="281"/>
        <v>0</v>
      </c>
      <c r="K348" s="21">
        <f t="shared" si="282"/>
        <v>0</v>
      </c>
      <c r="L348" s="21">
        <v>0</v>
      </c>
      <c r="M348" s="21">
        <f t="shared" si="283"/>
        <v>0</v>
      </c>
      <c r="N348" s="35"/>
      <c r="O348" s="39"/>
      <c r="U348" s="41">
        <f t="shared" si="284"/>
        <v>0</v>
      </c>
      <c r="W348" s="41">
        <f t="shared" si="285"/>
        <v>0</v>
      </c>
      <c r="X348" s="41">
        <f t="shared" si="286"/>
        <v>0</v>
      </c>
      <c r="Y348" s="41">
        <f t="shared" si="287"/>
        <v>0</v>
      </c>
      <c r="Z348" s="41">
        <f t="shared" si="288"/>
        <v>0</v>
      </c>
      <c r="AA348" s="41">
        <f t="shared" si="289"/>
        <v>0</v>
      </c>
      <c r="AB348" s="41">
        <f t="shared" si="290"/>
        <v>0</v>
      </c>
      <c r="AC348" s="41">
        <f t="shared" si="291"/>
        <v>0</v>
      </c>
      <c r="AD348" s="31"/>
      <c r="AE348" s="21">
        <f t="shared" si="292"/>
        <v>0</v>
      </c>
      <c r="AF348" s="21">
        <f t="shared" si="293"/>
        <v>0</v>
      </c>
      <c r="AG348" s="21">
        <f t="shared" si="294"/>
        <v>0</v>
      </c>
      <c r="AI348" s="41">
        <v>21</v>
      </c>
      <c r="AJ348" s="41">
        <f t="shared" si="295"/>
        <v>0</v>
      </c>
      <c r="AK348" s="41">
        <f t="shared" si="296"/>
        <v>0</v>
      </c>
      <c r="AL348" s="42" t="s">
        <v>13</v>
      </c>
      <c r="AQ348" s="41">
        <f t="shared" si="297"/>
        <v>0</v>
      </c>
      <c r="AR348" s="41">
        <f t="shared" si="298"/>
        <v>0</v>
      </c>
      <c r="AS348" s="41">
        <f t="shared" si="299"/>
        <v>0</v>
      </c>
      <c r="AT348" s="44" t="s">
        <v>2438</v>
      </c>
      <c r="AU348" s="44" t="s">
        <v>2480</v>
      </c>
      <c r="AV348" s="31" t="s">
        <v>2486</v>
      </c>
      <c r="AX348" s="41">
        <f t="shared" si="300"/>
        <v>0</v>
      </c>
      <c r="AY348" s="41">
        <f t="shared" si="301"/>
        <v>0</v>
      </c>
      <c r="AZ348" s="41">
        <v>0</v>
      </c>
      <c r="BA348" s="41">
        <f t="shared" si="302"/>
        <v>0</v>
      </c>
      <c r="BC348" s="21">
        <f t="shared" si="303"/>
        <v>0</v>
      </c>
      <c r="BD348" s="21">
        <f t="shared" si="304"/>
        <v>0</v>
      </c>
      <c r="BE348" s="21">
        <f t="shared" si="305"/>
        <v>0</v>
      </c>
      <c r="BF348" s="21" t="s">
        <v>2492</v>
      </c>
      <c r="BG348" s="41">
        <v>728</v>
      </c>
    </row>
    <row r="349" spans="1:59" x14ac:dyDescent="0.3">
      <c r="A349" s="4" t="s">
        <v>333</v>
      </c>
      <c r="B349" s="13"/>
      <c r="C349" s="13" t="s">
        <v>1136</v>
      </c>
      <c r="D349" s="101" t="s">
        <v>1855</v>
      </c>
      <c r="E349" s="102"/>
      <c r="F349" s="13" t="s">
        <v>2394</v>
      </c>
      <c r="G349" s="21">
        <v>2</v>
      </c>
      <c r="H349" s="21">
        <v>0</v>
      </c>
      <c r="I349" s="21">
        <f t="shared" si="280"/>
        <v>0</v>
      </c>
      <c r="J349" s="21">
        <f t="shared" si="281"/>
        <v>0</v>
      </c>
      <c r="K349" s="21">
        <f t="shared" si="282"/>
        <v>0</v>
      </c>
      <c r="L349" s="21">
        <v>0</v>
      </c>
      <c r="M349" s="21">
        <f t="shared" si="283"/>
        <v>0</v>
      </c>
      <c r="N349" s="35"/>
      <c r="O349" s="39"/>
      <c r="U349" s="41">
        <f t="shared" si="284"/>
        <v>0</v>
      </c>
      <c r="W349" s="41">
        <f t="shared" si="285"/>
        <v>0</v>
      </c>
      <c r="X349" s="41">
        <f t="shared" si="286"/>
        <v>0</v>
      </c>
      <c r="Y349" s="41">
        <f t="shared" si="287"/>
        <v>0</v>
      </c>
      <c r="Z349" s="41">
        <f t="shared" si="288"/>
        <v>0</v>
      </c>
      <c r="AA349" s="41">
        <f t="shared" si="289"/>
        <v>0</v>
      </c>
      <c r="AB349" s="41">
        <f t="shared" si="290"/>
        <v>0</v>
      </c>
      <c r="AC349" s="41">
        <f t="shared" si="291"/>
        <v>0</v>
      </c>
      <c r="AD349" s="31"/>
      <c r="AE349" s="21">
        <f t="shared" si="292"/>
        <v>0</v>
      </c>
      <c r="AF349" s="21">
        <f t="shared" si="293"/>
        <v>0</v>
      </c>
      <c r="AG349" s="21">
        <f t="shared" si="294"/>
        <v>0</v>
      </c>
      <c r="AI349" s="41">
        <v>21</v>
      </c>
      <c r="AJ349" s="41">
        <f t="shared" si="295"/>
        <v>0</v>
      </c>
      <c r="AK349" s="41">
        <f t="shared" si="296"/>
        <v>0</v>
      </c>
      <c r="AL349" s="42" t="s">
        <v>13</v>
      </c>
      <c r="AQ349" s="41">
        <f t="shared" si="297"/>
        <v>0</v>
      </c>
      <c r="AR349" s="41">
        <f t="shared" si="298"/>
        <v>0</v>
      </c>
      <c r="AS349" s="41">
        <f t="shared" si="299"/>
        <v>0</v>
      </c>
      <c r="AT349" s="44" t="s">
        <v>2438</v>
      </c>
      <c r="AU349" s="44" t="s">
        <v>2480</v>
      </c>
      <c r="AV349" s="31" t="s">
        <v>2486</v>
      </c>
      <c r="AX349" s="41">
        <f t="shared" si="300"/>
        <v>0</v>
      </c>
      <c r="AY349" s="41">
        <f t="shared" si="301"/>
        <v>0</v>
      </c>
      <c r="AZ349" s="41">
        <v>0</v>
      </c>
      <c r="BA349" s="41">
        <f t="shared" si="302"/>
        <v>0</v>
      </c>
      <c r="BC349" s="21">
        <f t="shared" si="303"/>
        <v>0</v>
      </c>
      <c r="BD349" s="21">
        <f t="shared" si="304"/>
        <v>0</v>
      </c>
      <c r="BE349" s="21">
        <f t="shared" si="305"/>
        <v>0</v>
      </c>
      <c r="BF349" s="21" t="s">
        <v>2492</v>
      </c>
      <c r="BG349" s="41">
        <v>728</v>
      </c>
    </row>
    <row r="350" spans="1:59" x14ac:dyDescent="0.3">
      <c r="A350" s="4" t="s">
        <v>334</v>
      </c>
      <c r="B350" s="13"/>
      <c r="C350" s="13" t="s">
        <v>1136</v>
      </c>
      <c r="D350" s="101" t="s">
        <v>1838</v>
      </c>
      <c r="E350" s="102"/>
      <c r="F350" s="13" t="s">
        <v>2394</v>
      </c>
      <c r="G350" s="21">
        <v>4</v>
      </c>
      <c r="H350" s="21">
        <v>0</v>
      </c>
      <c r="I350" s="21">
        <f t="shared" si="280"/>
        <v>0</v>
      </c>
      <c r="J350" s="21">
        <f t="shared" si="281"/>
        <v>0</v>
      </c>
      <c r="K350" s="21">
        <f t="shared" si="282"/>
        <v>0</v>
      </c>
      <c r="L350" s="21">
        <v>0</v>
      </c>
      <c r="M350" s="21">
        <f t="shared" si="283"/>
        <v>0</v>
      </c>
      <c r="N350" s="35"/>
      <c r="O350" s="39"/>
      <c r="U350" s="41">
        <f t="shared" si="284"/>
        <v>0</v>
      </c>
      <c r="W350" s="41">
        <f t="shared" si="285"/>
        <v>0</v>
      </c>
      <c r="X350" s="41">
        <f t="shared" si="286"/>
        <v>0</v>
      </c>
      <c r="Y350" s="41">
        <f t="shared" si="287"/>
        <v>0</v>
      </c>
      <c r="Z350" s="41">
        <f t="shared" si="288"/>
        <v>0</v>
      </c>
      <c r="AA350" s="41">
        <f t="shared" si="289"/>
        <v>0</v>
      </c>
      <c r="AB350" s="41">
        <f t="shared" si="290"/>
        <v>0</v>
      </c>
      <c r="AC350" s="41">
        <f t="shared" si="291"/>
        <v>0</v>
      </c>
      <c r="AD350" s="31"/>
      <c r="AE350" s="21">
        <f t="shared" si="292"/>
        <v>0</v>
      </c>
      <c r="AF350" s="21">
        <f t="shared" si="293"/>
        <v>0</v>
      </c>
      <c r="AG350" s="21">
        <f t="shared" si="294"/>
        <v>0</v>
      </c>
      <c r="AI350" s="41">
        <v>21</v>
      </c>
      <c r="AJ350" s="41">
        <f t="shared" si="295"/>
        <v>0</v>
      </c>
      <c r="AK350" s="41">
        <f t="shared" si="296"/>
        <v>0</v>
      </c>
      <c r="AL350" s="42" t="s">
        <v>13</v>
      </c>
      <c r="AQ350" s="41">
        <f t="shared" si="297"/>
        <v>0</v>
      </c>
      <c r="AR350" s="41">
        <f t="shared" si="298"/>
        <v>0</v>
      </c>
      <c r="AS350" s="41">
        <f t="shared" si="299"/>
        <v>0</v>
      </c>
      <c r="AT350" s="44" t="s">
        <v>2438</v>
      </c>
      <c r="AU350" s="44" t="s">
        <v>2480</v>
      </c>
      <c r="AV350" s="31" t="s">
        <v>2486</v>
      </c>
      <c r="AX350" s="41">
        <f t="shared" si="300"/>
        <v>0</v>
      </c>
      <c r="AY350" s="41">
        <f t="shared" si="301"/>
        <v>0</v>
      </c>
      <c r="AZ350" s="41">
        <v>0</v>
      </c>
      <c r="BA350" s="41">
        <f t="shared" si="302"/>
        <v>0</v>
      </c>
      <c r="BC350" s="21">
        <f t="shared" si="303"/>
        <v>0</v>
      </c>
      <c r="BD350" s="21">
        <f t="shared" si="304"/>
        <v>0</v>
      </c>
      <c r="BE350" s="21">
        <f t="shared" si="305"/>
        <v>0</v>
      </c>
      <c r="BF350" s="21" t="s">
        <v>2492</v>
      </c>
      <c r="BG350" s="41">
        <v>728</v>
      </c>
    </row>
    <row r="351" spans="1:59" x14ac:dyDescent="0.3">
      <c r="A351" s="4" t="s">
        <v>335</v>
      </c>
      <c r="B351" s="13"/>
      <c r="C351" s="13" t="s">
        <v>1136</v>
      </c>
      <c r="D351" s="101" t="s">
        <v>1837</v>
      </c>
      <c r="E351" s="102"/>
      <c r="F351" s="13" t="s">
        <v>2394</v>
      </c>
      <c r="G351" s="21">
        <v>19</v>
      </c>
      <c r="H351" s="21">
        <v>0</v>
      </c>
      <c r="I351" s="21">
        <f t="shared" si="280"/>
        <v>0</v>
      </c>
      <c r="J351" s="21">
        <f t="shared" si="281"/>
        <v>0</v>
      </c>
      <c r="K351" s="21">
        <f t="shared" si="282"/>
        <v>0</v>
      </c>
      <c r="L351" s="21">
        <v>0</v>
      </c>
      <c r="M351" s="21">
        <f t="shared" si="283"/>
        <v>0</v>
      </c>
      <c r="N351" s="35"/>
      <c r="O351" s="39"/>
      <c r="U351" s="41">
        <f t="shared" si="284"/>
        <v>0</v>
      </c>
      <c r="W351" s="41">
        <f t="shared" si="285"/>
        <v>0</v>
      </c>
      <c r="X351" s="41">
        <f t="shared" si="286"/>
        <v>0</v>
      </c>
      <c r="Y351" s="41">
        <f t="shared" si="287"/>
        <v>0</v>
      </c>
      <c r="Z351" s="41">
        <f t="shared" si="288"/>
        <v>0</v>
      </c>
      <c r="AA351" s="41">
        <f t="shared" si="289"/>
        <v>0</v>
      </c>
      <c r="AB351" s="41">
        <f t="shared" si="290"/>
        <v>0</v>
      </c>
      <c r="AC351" s="41">
        <f t="shared" si="291"/>
        <v>0</v>
      </c>
      <c r="AD351" s="31"/>
      <c r="AE351" s="21">
        <f t="shared" si="292"/>
        <v>0</v>
      </c>
      <c r="AF351" s="21">
        <f t="shared" si="293"/>
        <v>0</v>
      </c>
      <c r="AG351" s="21">
        <f t="shared" si="294"/>
        <v>0</v>
      </c>
      <c r="AI351" s="41">
        <v>21</v>
      </c>
      <c r="AJ351" s="41">
        <f t="shared" si="295"/>
        <v>0</v>
      </c>
      <c r="AK351" s="41">
        <f t="shared" si="296"/>
        <v>0</v>
      </c>
      <c r="AL351" s="42" t="s">
        <v>13</v>
      </c>
      <c r="AQ351" s="41">
        <f t="shared" si="297"/>
        <v>0</v>
      </c>
      <c r="AR351" s="41">
        <f t="shared" si="298"/>
        <v>0</v>
      </c>
      <c r="AS351" s="41">
        <f t="shared" si="299"/>
        <v>0</v>
      </c>
      <c r="AT351" s="44" t="s">
        <v>2438</v>
      </c>
      <c r="AU351" s="44" t="s">
        <v>2480</v>
      </c>
      <c r="AV351" s="31" t="s">
        <v>2486</v>
      </c>
      <c r="AX351" s="41">
        <f t="shared" si="300"/>
        <v>0</v>
      </c>
      <c r="AY351" s="41">
        <f t="shared" si="301"/>
        <v>0</v>
      </c>
      <c r="AZ351" s="41">
        <v>0</v>
      </c>
      <c r="BA351" s="41">
        <f t="shared" si="302"/>
        <v>0</v>
      </c>
      <c r="BC351" s="21">
        <f t="shared" si="303"/>
        <v>0</v>
      </c>
      <c r="BD351" s="21">
        <f t="shared" si="304"/>
        <v>0</v>
      </c>
      <c r="BE351" s="21">
        <f t="shared" si="305"/>
        <v>0</v>
      </c>
      <c r="BF351" s="21" t="s">
        <v>2492</v>
      </c>
      <c r="BG351" s="41">
        <v>728</v>
      </c>
    </row>
    <row r="352" spans="1:59" x14ac:dyDescent="0.3">
      <c r="A352" s="4" t="s">
        <v>336</v>
      </c>
      <c r="B352" s="13"/>
      <c r="C352" s="13" t="s">
        <v>1136</v>
      </c>
      <c r="D352" s="101" t="s">
        <v>1856</v>
      </c>
      <c r="E352" s="102"/>
      <c r="F352" s="13" t="s">
        <v>2394</v>
      </c>
      <c r="G352" s="21">
        <v>11</v>
      </c>
      <c r="H352" s="21">
        <v>0</v>
      </c>
      <c r="I352" s="21">
        <f t="shared" ref="I352:I363" si="306">G352*AJ352</f>
        <v>0</v>
      </c>
      <c r="J352" s="21">
        <f t="shared" ref="J352:J363" si="307">G352*AK352</f>
        <v>0</v>
      </c>
      <c r="K352" s="21">
        <f t="shared" ref="K352:K363" si="308">G352*H352</f>
        <v>0</v>
      </c>
      <c r="L352" s="21">
        <v>0</v>
      </c>
      <c r="M352" s="21">
        <f t="shared" ref="M352:M363" si="309">G352*L352</f>
        <v>0</v>
      </c>
      <c r="N352" s="35"/>
      <c r="O352" s="39"/>
      <c r="U352" s="41">
        <f t="shared" ref="U352:U363" si="310">IF(AL352="5",BE352,0)</f>
        <v>0</v>
      </c>
      <c r="W352" s="41">
        <f t="shared" ref="W352:W363" si="311">IF(AL352="1",BC352,0)</f>
        <v>0</v>
      </c>
      <c r="X352" s="41">
        <f t="shared" ref="X352:X363" si="312">IF(AL352="1",BD352,0)</f>
        <v>0</v>
      </c>
      <c r="Y352" s="41">
        <f t="shared" ref="Y352:Y363" si="313">IF(AL352="7",BC352,0)</f>
        <v>0</v>
      </c>
      <c r="Z352" s="41">
        <f t="shared" ref="Z352:Z363" si="314">IF(AL352="7",BD352,0)</f>
        <v>0</v>
      </c>
      <c r="AA352" s="41">
        <f t="shared" ref="AA352:AA363" si="315">IF(AL352="2",BC352,0)</f>
        <v>0</v>
      </c>
      <c r="AB352" s="41">
        <f t="shared" ref="AB352:AB363" si="316">IF(AL352="2",BD352,0)</f>
        <v>0</v>
      </c>
      <c r="AC352" s="41">
        <f t="shared" ref="AC352:AC363" si="317">IF(AL352="0",BE352,0)</f>
        <v>0</v>
      </c>
      <c r="AD352" s="31"/>
      <c r="AE352" s="21">
        <f t="shared" ref="AE352:AE363" si="318">IF(AI352=0,K352,0)</f>
        <v>0</v>
      </c>
      <c r="AF352" s="21">
        <f t="shared" ref="AF352:AF363" si="319">IF(AI352=15,K352,0)</f>
        <v>0</v>
      </c>
      <c r="AG352" s="21">
        <f t="shared" ref="AG352:AG363" si="320">IF(AI352=21,K352,0)</f>
        <v>0</v>
      </c>
      <c r="AI352" s="41">
        <v>21</v>
      </c>
      <c r="AJ352" s="41">
        <f t="shared" ref="AJ352:AJ363" si="321">H352*0</f>
        <v>0</v>
      </c>
      <c r="AK352" s="41">
        <f t="shared" ref="AK352:AK363" si="322">H352*(1-0)</f>
        <v>0</v>
      </c>
      <c r="AL352" s="42" t="s">
        <v>13</v>
      </c>
      <c r="AQ352" s="41">
        <f t="shared" ref="AQ352:AQ363" si="323">AR352+AS352</f>
        <v>0</v>
      </c>
      <c r="AR352" s="41">
        <f t="shared" ref="AR352:AR363" si="324">G352*AJ352</f>
        <v>0</v>
      </c>
      <c r="AS352" s="41">
        <f t="shared" ref="AS352:AS363" si="325">G352*AK352</f>
        <v>0</v>
      </c>
      <c r="AT352" s="44" t="s">
        <v>2438</v>
      </c>
      <c r="AU352" s="44" t="s">
        <v>2480</v>
      </c>
      <c r="AV352" s="31" t="s">
        <v>2486</v>
      </c>
      <c r="AX352" s="41">
        <f t="shared" ref="AX352:AX363" si="326">AR352+AS352</f>
        <v>0</v>
      </c>
      <c r="AY352" s="41">
        <f t="shared" ref="AY352:AY363" si="327">H352/(100-AZ352)*100</f>
        <v>0</v>
      </c>
      <c r="AZ352" s="41">
        <v>0</v>
      </c>
      <c r="BA352" s="41">
        <f t="shared" ref="BA352:BA363" si="328">M352</f>
        <v>0</v>
      </c>
      <c r="BC352" s="21">
        <f t="shared" ref="BC352:BC363" si="329">G352*AJ352</f>
        <v>0</v>
      </c>
      <c r="BD352" s="21">
        <f t="shared" ref="BD352:BD363" si="330">G352*AK352</f>
        <v>0</v>
      </c>
      <c r="BE352" s="21">
        <f t="shared" ref="BE352:BE363" si="331">G352*H352</f>
        <v>0</v>
      </c>
      <c r="BF352" s="21" t="s">
        <v>2492</v>
      </c>
      <c r="BG352" s="41">
        <v>728</v>
      </c>
    </row>
    <row r="353" spans="1:59" x14ac:dyDescent="0.3">
      <c r="A353" s="4" t="s">
        <v>337</v>
      </c>
      <c r="B353" s="13"/>
      <c r="C353" s="13" t="s">
        <v>1136</v>
      </c>
      <c r="D353" s="101" t="s">
        <v>1839</v>
      </c>
      <c r="E353" s="102"/>
      <c r="F353" s="13" t="s">
        <v>2387</v>
      </c>
      <c r="G353" s="21">
        <v>18</v>
      </c>
      <c r="H353" s="21">
        <v>0</v>
      </c>
      <c r="I353" s="21">
        <f t="shared" si="306"/>
        <v>0</v>
      </c>
      <c r="J353" s="21">
        <f t="shared" si="307"/>
        <v>0</v>
      </c>
      <c r="K353" s="21">
        <f t="shared" si="308"/>
        <v>0</v>
      </c>
      <c r="L353" s="21">
        <v>0</v>
      </c>
      <c r="M353" s="21">
        <f t="shared" si="309"/>
        <v>0</v>
      </c>
      <c r="N353" s="35"/>
      <c r="O353" s="39"/>
      <c r="U353" s="41">
        <f t="shared" si="310"/>
        <v>0</v>
      </c>
      <c r="W353" s="41">
        <f t="shared" si="311"/>
        <v>0</v>
      </c>
      <c r="X353" s="41">
        <f t="shared" si="312"/>
        <v>0</v>
      </c>
      <c r="Y353" s="41">
        <f t="shared" si="313"/>
        <v>0</v>
      </c>
      <c r="Z353" s="41">
        <f t="shared" si="314"/>
        <v>0</v>
      </c>
      <c r="AA353" s="41">
        <f t="shared" si="315"/>
        <v>0</v>
      </c>
      <c r="AB353" s="41">
        <f t="shared" si="316"/>
        <v>0</v>
      </c>
      <c r="AC353" s="41">
        <f t="shared" si="317"/>
        <v>0</v>
      </c>
      <c r="AD353" s="31"/>
      <c r="AE353" s="21">
        <f t="shared" si="318"/>
        <v>0</v>
      </c>
      <c r="AF353" s="21">
        <f t="shared" si="319"/>
        <v>0</v>
      </c>
      <c r="AG353" s="21">
        <f t="shared" si="320"/>
        <v>0</v>
      </c>
      <c r="AI353" s="41">
        <v>21</v>
      </c>
      <c r="AJ353" s="41">
        <f t="shared" si="321"/>
        <v>0</v>
      </c>
      <c r="AK353" s="41">
        <f t="shared" si="322"/>
        <v>0</v>
      </c>
      <c r="AL353" s="42" t="s">
        <v>13</v>
      </c>
      <c r="AQ353" s="41">
        <f t="shared" si="323"/>
        <v>0</v>
      </c>
      <c r="AR353" s="41">
        <f t="shared" si="324"/>
        <v>0</v>
      </c>
      <c r="AS353" s="41">
        <f t="shared" si="325"/>
        <v>0</v>
      </c>
      <c r="AT353" s="44" t="s">
        <v>2438</v>
      </c>
      <c r="AU353" s="44" t="s">
        <v>2480</v>
      </c>
      <c r="AV353" s="31" t="s">
        <v>2486</v>
      </c>
      <c r="AX353" s="41">
        <f t="shared" si="326"/>
        <v>0</v>
      </c>
      <c r="AY353" s="41">
        <f t="shared" si="327"/>
        <v>0</v>
      </c>
      <c r="AZ353" s="41">
        <v>0</v>
      </c>
      <c r="BA353" s="41">
        <f t="shared" si="328"/>
        <v>0</v>
      </c>
      <c r="BC353" s="21">
        <f t="shared" si="329"/>
        <v>0</v>
      </c>
      <c r="BD353" s="21">
        <f t="shared" si="330"/>
        <v>0</v>
      </c>
      <c r="BE353" s="21">
        <f t="shared" si="331"/>
        <v>0</v>
      </c>
      <c r="BF353" s="21" t="s">
        <v>2492</v>
      </c>
      <c r="BG353" s="41">
        <v>728</v>
      </c>
    </row>
    <row r="354" spans="1:59" x14ac:dyDescent="0.3">
      <c r="A354" s="4" t="s">
        <v>338</v>
      </c>
      <c r="B354" s="13"/>
      <c r="C354" s="13" t="s">
        <v>1136</v>
      </c>
      <c r="D354" s="101" t="s">
        <v>1738</v>
      </c>
      <c r="E354" s="102"/>
      <c r="F354" s="13" t="s">
        <v>2386</v>
      </c>
      <c r="G354" s="21">
        <v>1</v>
      </c>
      <c r="H354" s="21">
        <v>0</v>
      </c>
      <c r="I354" s="21">
        <f t="shared" si="306"/>
        <v>0</v>
      </c>
      <c r="J354" s="21">
        <f t="shared" si="307"/>
        <v>0</v>
      </c>
      <c r="K354" s="21">
        <f t="shared" si="308"/>
        <v>0</v>
      </c>
      <c r="L354" s="21">
        <v>0</v>
      </c>
      <c r="M354" s="21">
        <f t="shared" si="309"/>
        <v>0</v>
      </c>
      <c r="N354" s="35"/>
      <c r="O354" s="39"/>
      <c r="U354" s="41">
        <f t="shared" si="310"/>
        <v>0</v>
      </c>
      <c r="W354" s="41">
        <f t="shared" si="311"/>
        <v>0</v>
      </c>
      <c r="X354" s="41">
        <f t="shared" si="312"/>
        <v>0</v>
      </c>
      <c r="Y354" s="41">
        <f t="shared" si="313"/>
        <v>0</v>
      </c>
      <c r="Z354" s="41">
        <f t="shared" si="314"/>
        <v>0</v>
      </c>
      <c r="AA354" s="41">
        <f t="shared" si="315"/>
        <v>0</v>
      </c>
      <c r="AB354" s="41">
        <f t="shared" si="316"/>
        <v>0</v>
      </c>
      <c r="AC354" s="41">
        <f t="shared" si="317"/>
        <v>0</v>
      </c>
      <c r="AD354" s="31"/>
      <c r="AE354" s="21">
        <f t="shared" si="318"/>
        <v>0</v>
      </c>
      <c r="AF354" s="21">
        <f t="shared" si="319"/>
        <v>0</v>
      </c>
      <c r="AG354" s="21">
        <f t="shared" si="320"/>
        <v>0</v>
      </c>
      <c r="AI354" s="41">
        <v>21</v>
      </c>
      <c r="AJ354" s="41">
        <f t="shared" si="321"/>
        <v>0</v>
      </c>
      <c r="AK354" s="41">
        <f t="shared" si="322"/>
        <v>0</v>
      </c>
      <c r="AL354" s="42" t="s">
        <v>13</v>
      </c>
      <c r="AQ354" s="41">
        <f t="shared" si="323"/>
        <v>0</v>
      </c>
      <c r="AR354" s="41">
        <f t="shared" si="324"/>
        <v>0</v>
      </c>
      <c r="AS354" s="41">
        <f t="shared" si="325"/>
        <v>0</v>
      </c>
      <c r="AT354" s="44" t="s">
        <v>2438</v>
      </c>
      <c r="AU354" s="44" t="s">
        <v>2480</v>
      </c>
      <c r="AV354" s="31" t="s">
        <v>2486</v>
      </c>
      <c r="AX354" s="41">
        <f t="shared" si="326"/>
        <v>0</v>
      </c>
      <c r="AY354" s="41">
        <f t="shared" si="327"/>
        <v>0</v>
      </c>
      <c r="AZ354" s="41">
        <v>0</v>
      </c>
      <c r="BA354" s="41">
        <f t="shared" si="328"/>
        <v>0</v>
      </c>
      <c r="BC354" s="21">
        <f t="shared" si="329"/>
        <v>0</v>
      </c>
      <c r="BD354" s="21">
        <f t="shared" si="330"/>
        <v>0</v>
      </c>
      <c r="BE354" s="21">
        <f t="shared" si="331"/>
        <v>0</v>
      </c>
      <c r="BF354" s="21" t="s">
        <v>2492</v>
      </c>
      <c r="BG354" s="41">
        <v>728</v>
      </c>
    </row>
    <row r="355" spans="1:59" x14ac:dyDescent="0.3">
      <c r="A355" s="4" t="s">
        <v>339</v>
      </c>
      <c r="B355" s="13"/>
      <c r="C355" s="13" t="s">
        <v>1136</v>
      </c>
      <c r="D355" s="101" t="s">
        <v>1741</v>
      </c>
      <c r="E355" s="102"/>
      <c r="F355" s="13" t="s">
        <v>2386</v>
      </c>
      <c r="G355" s="21">
        <v>1</v>
      </c>
      <c r="H355" s="21">
        <v>0</v>
      </c>
      <c r="I355" s="21">
        <f t="shared" si="306"/>
        <v>0</v>
      </c>
      <c r="J355" s="21">
        <f t="shared" si="307"/>
        <v>0</v>
      </c>
      <c r="K355" s="21">
        <f t="shared" si="308"/>
        <v>0</v>
      </c>
      <c r="L355" s="21">
        <v>0</v>
      </c>
      <c r="M355" s="21">
        <f t="shared" si="309"/>
        <v>0</v>
      </c>
      <c r="N355" s="35"/>
      <c r="O355" s="39"/>
      <c r="U355" s="41">
        <f t="shared" si="310"/>
        <v>0</v>
      </c>
      <c r="W355" s="41">
        <f t="shared" si="311"/>
        <v>0</v>
      </c>
      <c r="X355" s="41">
        <f t="shared" si="312"/>
        <v>0</v>
      </c>
      <c r="Y355" s="41">
        <f t="shared" si="313"/>
        <v>0</v>
      </c>
      <c r="Z355" s="41">
        <f t="shared" si="314"/>
        <v>0</v>
      </c>
      <c r="AA355" s="41">
        <f t="shared" si="315"/>
        <v>0</v>
      </c>
      <c r="AB355" s="41">
        <f t="shared" si="316"/>
        <v>0</v>
      </c>
      <c r="AC355" s="41">
        <f t="shared" si="317"/>
        <v>0</v>
      </c>
      <c r="AD355" s="31"/>
      <c r="AE355" s="21">
        <f t="shared" si="318"/>
        <v>0</v>
      </c>
      <c r="AF355" s="21">
        <f t="shared" si="319"/>
        <v>0</v>
      </c>
      <c r="AG355" s="21">
        <f t="shared" si="320"/>
        <v>0</v>
      </c>
      <c r="AI355" s="41">
        <v>21</v>
      </c>
      <c r="AJ355" s="41">
        <f t="shared" si="321"/>
        <v>0</v>
      </c>
      <c r="AK355" s="41">
        <f t="shared" si="322"/>
        <v>0</v>
      </c>
      <c r="AL355" s="42" t="s">
        <v>13</v>
      </c>
      <c r="AQ355" s="41">
        <f t="shared" si="323"/>
        <v>0</v>
      </c>
      <c r="AR355" s="41">
        <f t="shared" si="324"/>
        <v>0</v>
      </c>
      <c r="AS355" s="41">
        <f t="shared" si="325"/>
        <v>0</v>
      </c>
      <c r="AT355" s="44" t="s">
        <v>2438</v>
      </c>
      <c r="AU355" s="44" t="s">
        <v>2480</v>
      </c>
      <c r="AV355" s="31" t="s">
        <v>2486</v>
      </c>
      <c r="AX355" s="41">
        <f t="shared" si="326"/>
        <v>0</v>
      </c>
      <c r="AY355" s="41">
        <f t="shared" si="327"/>
        <v>0</v>
      </c>
      <c r="AZ355" s="41">
        <v>0</v>
      </c>
      <c r="BA355" s="41">
        <f t="shared" si="328"/>
        <v>0</v>
      </c>
      <c r="BC355" s="21">
        <f t="shared" si="329"/>
        <v>0</v>
      </c>
      <c r="BD355" s="21">
        <f t="shared" si="330"/>
        <v>0</v>
      </c>
      <c r="BE355" s="21">
        <f t="shared" si="331"/>
        <v>0</v>
      </c>
      <c r="BF355" s="21" t="s">
        <v>2492</v>
      </c>
      <c r="BG355" s="41">
        <v>728</v>
      </c>
    </row>
    <row r="356" spans="1:59" x14ac:dyDescent="0.3">
      <c r="A356" s="4" t="s">
        <v>340</v>
      </c>
      <c r="B356" s="13"/>
      <c r="C356" s="13" t="s">
        <v>1136</v>
      </c>
      <c r="D356" s="101" t="s">
        <v>1863</v>
      </c>
      <c r="E356" s="102"/>
      <c r="F356" s="13" t="s">
        <v>2386</v>
      </c>
      <c r="G356" s="21">
        <v>1</v>
      </c>
      <c r="H356" s="21">
        <v>0</v>
      </c>
      <c r="I356" s="21">
        <f t="shared" si="306"/>
        <v>0</v>
      </c>
      <c r="J356" s="21">
        <f t="shared" si="307"/>
        <v>0</v>
      </c>
      <c r="K356" s="21">
        <f t="shared" si="308"/>
        <v>0</v>
      </c>
      <c r="L356" s="21">
        <v>0</v>
      </c>
      <c r="M356" s="21">
        <f t="shared" si="309"/>
        <v>0</v>
      </c>
      <c r="N356" s="35"/>
      <c r="O356" s="39"/>
      <c r="U356" s="41">
        <f t="shared" si="310"/>
        <v>0</v>
      </c>
      <c r="W356" s="41">
        <f t="shared" si="311"/>
        <v>0</v>
      </c>
      <c r="X356" s="41">
        <f t="shared" si="312"/>
        <v>0</v>
      </c>
      <c r="Y356" s="41">
        <f t="shared" si="313"/>
        <v>0</v>
      </c>
      <c r="Z356" s="41">
        <f t="shared" si="314"/>
        <v>0</v>
      </c>
      <c r="AA356" s="41">
        <f t="shared" si="315"/>
        <v>0</v>
      </c>
      <c r="AB356" s="41">
        <f t="shared" si="316"/>
        <v>0</v>
      </c>
      <c r="AC356" s="41">
        <f t="shared" si="317"/>
        <v>0</v>
      </c>
      <c r="AD356" s="31"/>
      <c r="AE356" s="21">
        <f t="shared" si="318"/>
        <v>0</v>
      </c>
      <c r="AF356" s="21">
        <f t="shared" si="319"/>
        <v>0</v>
      </c>
      <c r="AG356" s="21">
        <f t="shared" si="320"/>
        <v>0</v>
      </c>
      <c r="AI356" s="41">
        <v>21</v>
      </c>
      <c r="AJ356" s="41">
        <f t="shared" si="321"/>
        <v>0</v>
      </c>
      <c r="AK356" s="41">
        <f t="shared" si="322"/>
        <v>0</v>
      </c>
      <c r="AL356" s="42" t="s">
        <v>13</v>
      </c>
      <c r="AQ356" s="41">
        <f t="shared" si="323"/>
        <v>0</v>
      </c>
      <c r="AR356" s="41">
        <f t="shared" si="324"/>
        <v>0</v>
      </c>
      <c r="AS356" s="41">
        <f t="shared" si="325"/>
        <v>0</v>
      </c>
      <c r="AT356" s="44" t="s">
        <v>2438</v>
      </c>
      <c r="AU356" s="44" t="s">
        <v>2480</v>
      </c>
      <c r="AV356" s="31" t="s">
        <v>2486</v>
      </c>
      <c r="AX356" s="41">
        <f t="shared" si="326"/>
        <v>0</v>
      </c>
      <c r="AY356" s="41">
        <f t="shared" si="327"/>
        <v>0</v>
      </c>
      <c r="AZ356" s="41">
        <v>0</v>
      </c>
      <c r="BA356" s="41">
        <f t="shared" si="328"/>
        <v>0</v>
      </c>
      <c r="BC356" s="21">
        <f t="shared" si="329"/>
        <v>0</v>
      </c>
      <c r="BD356" s="21">
        <f t="shared" si="330"/>
        <v>0</v>
      </c>
      <c r="BE356" s="21">
        <f t="shared" si="331"/>
        <v>0</v>
      </c>
      <c r="BF356" s="21" t="s">
        <v>2492</v>
      </c>
      <c r="BG356" s="41">
        <v>728</v>
      </c>
    </row>
    <row r="357" spans="1:59" x14ac:dyDescent="0.3">
      <c r="A357" s="4" t="s">
        <v>341</v>
      </c>
      <c r="B357" s="13"/>
      <c r="C357" s="13" t="s">
        <v>1136</v>
      </c>
      <c r="D357" s="101" t="s">
        <v>1742</v>
      </c>
      <c r="E357" s="102"/>
      <c r="F357" s="13" t="s">
        <v>2386</v>
      </c>
      <c r="G357" s="21">
        <v>1</v>
      </c>
      <c r="H357" s="21">
        <v>0</v>
      </c>
      <c r="I357" s="21">
        <f t="shared" si="306"/>
        <v>0</v>
      </c>
      <c r="J357" s="21">
        <f t="shared" si="307"/>
        <v>0</v>
      </c>
      <c r="K357" s="21">
        <f t="shared" si="308"/>
        <v>0</v>
      </c>
      <c r="L357" s="21">
        <v>0</v>
      </c>
      <c r="M357" s="21">
        <f t="shared" si="309"/>
        <v>0</v>
      </c>
      <c r="N357" s="35"/>
      <c r="O357" s="39"/>
      <c r="U357" s="41">
        <f t="shared" si="310"/>
        <v>0</v>
      </c>
      <c r="W357" s="41">
        <f t="shared" si="311"/>
        <v>0</v>
      </c>
      <c r="X357" s="41">
        <f t="shared" si="312"/>
        <v>0</v>
      </c>
      <c r="Y357" s="41">
        <f t="shared" si="313"/>
        <v>0</v>
      </c>
      <c r="Z357" s="41">
        <f t="shared" si="314"/>
        <v>0</v>
      </c>
      <c r="AA357" s="41">
        <f t="shared" si="315"/>
        <v>0</v>
      </c>
      <c r="AB357" s="41">
        <f t="shared" si="316"/>
        <v>0</v>
      </c>
      <c r="AC357" s="41">
        <f t="shared" si="317"/>
        <v>0</v>
      </c>
      <c r="AD357" s="31"/>
      <c r="AE357" s="21">
        <f t="shared" si="318"/>
        <v>0</v>
      </c>
      <c r="AF357" s="21">
        <f t="shared" si="319"/>
        <v>0</v>
      </c>
      <c r="AG357" s="21">
        <f t="shared" si="320"/>
        <v>0</v>
      </c>
      <c r="AI357" s="41">
        <v>21</v>
      </c>
      <c r="AJ357" s="41">
        <f t="shared" si="321"/>
        <v>0</v>
      </c>
      <c r="AK357" s="41">
        <f t="shared" si="322"/>
        <v>0</v>
      </c>
      <c r="AL357" s="42" t="s">
        <v>13</v>
      </c>
      <c r="AQ357" s="41">
        <f t="shared" si="323"/>
        <v>0</v>
      </c>
      <c r="AR357" s="41">
        <f t="shared" si="324"/>
        <v>0</v>
      </c>
      <c r="AS357" s="41">
        <f t="shared" si="325"/>
        <v>0</v>
      </c>
      <c r="AT357" s="44" t="s">
        <v>2438</v>
      </c>
      <c r="AU357" s="44" t="s">
        <v>2480</v>
      </c>
      <c r="AV357" s="31" t="s">
        <v>2486</v>
      </c>
      <c r="AX357" s="41">
        <f t="shared" si="326"/>
        <v>0</v>
      </c>
      <c r="AY357" s="41">
        <f t="shared" si="327"/>
        <v>0</v>
      </c>
      <c r="AZ357" s="41">
        <v>0</v>
      </c>
      <c r="BA357" s="41">
        <f t="shared" si="328"/>
        <v>0</v>
      </c>
      <c r="BC357" s="21">
        <f t="shared" si="329"/>
        <v>0</v>
      </c>
      <c r="BD357" s="21">
        <f t="shared" si="330"/>
        <v>0</v>
      </c>
      <c r="BE357" s="21">
        <f t="shared" si="331"/>
        <v>0</v>
      </c>
      <c r="BF357" s="21" t="s">
        <v>2492</v>
      </c>
      <c r="BG357" s="41">
        <v>728</v>
      </c>
    </row>
    <row r="358" spans="1:59" x14ac:dyDescent="0.3">
      <c r="A358" s="4" t="s">
        <v>342</v>
      </c>
      <c r="B358" s="13"/>
      <c r="C358" s="13" t="s">
        <v>1136</v>
      </c>
      <c r="D358" s="101" t="s">
        <v>1743</v>
      </c>
      <c r="E358" s="102"/>
      <c r="F358" s="13" t="s">
        <v>2386</v>
      </c>
      <c r="G358" s="21">
        <v>1</v>
      </c>
      <c r="H358" s="21">
        <v>0</v>
      </c>
      <c r="I358" s="21">
        <f t="shared" si="306"/>
        <v>0</v>
      </c>
      <c r="J358" s="21">
        <f t="shared" si="307"/>
        <v>0</v>
      </c>
      <c r="K358" s="21">
        <f t="shared" si="308"/>
        <v>0</v>
      </c>
      <c r="L358" s="21">
        <v>0</v>
      </c>
      <c r="M358" s="21">
        <f t="shared" si="309"/>
        <v>0</v>
      </c>
      <c r="N358" s="35"/>
      <c r="O358" s="39"/>
      <c r="U358" s="41">
        <f t="shared" si="310"/>
        <v>0</v>
      </c>
      <c r="W358" s="41">
        <f t="shared" si="311"/>
        <v>0</v>
      </c>
      <c r="X358" s="41">
        <f t="shared" si="312"/>
        <v>0</v>
      </c>
      <c r="Y358" s="41">
        <f t="shared" si="313"/>
        <v>0</v>
      </c>
      <c r="Z358" s="41">
        <f t="shared" si="314"/>
        <v>0</v>
      </c>
      <c r="AA358" s="41">
        <f t="shared" si="315"/>
        <v>0</v>
      </c>
      <c r="AB358" s="41">
        <f t="shared" si="316"/>
        <v>0</v>
      </c>
      <c r="AC358" s="41">
        <f t="shared" si="317"/>
        <v>0</v>
      </c>
      <c r="AD358" s="31"/>
      <c r="AE358" s="21">
        <f t="shared" si="318"/>
        <v>0</v>
      </c>
      <c r="AF358" s="21">
        <f t="shared" si="319"/>
        <v>0</v>
      </c>
      <c r="AG358" s="21">
        <f t="shared" si="320"/>
        <v>0</v>
      </c>
      <c r="AI358" s="41">
        <v>21</v>
      </c>
      <c r="AJ358" s="41">
        <f t="shared" si="321"/>
        <v>0</v>
      </c>
      <c r="AK358" s="41">
        <f t="shared" si="322"/>
        <v>0</v>
      </c>
      <c r="AL358" s="42" t="s">
        <v>13</v>
      </c>
      <c r="AQ358" s="41">
        <f t="shared" si="323"/>
        <v>0</v>
      </c>
      <c r="AR358" s="41">
        <f t="shared" si="324"/>
        <v>0</v>
      </c>
      <c r="AS358" s="41">
        <f t="shared" si="325"/>
        <v>0</v>
      </c>
      <c r="AT358" s="44" t="s">
        <v>2438</v>
      </c>
      <c r="AU358" s="44" t="s">
        <v>2480</v>
      </c>
      <c r="AV358" s="31" t="s">
        <v>2486</v>
      </c>
      <c r="AX358" s="41">
        <f t="shared" si="326"/>
        <v>0</v>
      </c>
      <c r="AY358" s="41">
        <f t="shared" si="327"/>
        <v>0</v>
      </c>
      <c r="AZ358" s="41">
        <v>0</v>
      </c>
      <c r="BA358" s="41">
        <f t="shared" si="328"/>
        <v>0</v>
      </c>
      <c r="BC358" s="21">
        <f t="shared" si="329"/>
        <v>0</v>
      </c>
      <c r="BD358" s="21">
        <f t="shared" si="330"/>
        <v>0</v>
      </c>
      <c r="BE358" s="21">
        <f t="shared" si="331"/>
        <v>0</v>
      </c>
      <c r="BF358" s="21" t="s">
        <v>2492</v>
      </c>
      <c r="BG358" s="41">
        <v>728</v>
      </c>
    </row>
    <row r="359" spans="1:59" x14ac:dyDescent="0.3">
      <c r="A359" s="4" t="s">
        <v>343</v>
      </c>
      <c r="B359" s="13"/>
      <c r="C359" s="13" t="s">
        <v>1136</v>
      </c>
      <c r="D359" s="101" t="s">
        <v>1744</v>
      </c>
      <c r="E359" s="102"/>
      <c r="F359" s="13" t="s">
        <v>2386</v>
      </c>
      <c r="G359" s="21">
        <v>1</v>
      </c>
      <c r="H359" s="21">
        <v>0</v>
      </c>
      <c r="I359" s="21">
        <f t="shared" si="306"/>
        <v>0</v>
      </c>
      <c r="J359" s="21">
        <f t="shared" si="307"/>
        <v>0</v>
      </c>
      <c r="K359" s="21">
        <f t="shared" si="308"/>
        <v>0</v>
      </c>
      <c r="L359" s="21">
        <v>0</v>
      </c>
      <c r="M359" s="21">
        <f t="shared" si="309"/>
        <v>0</v>
      </c>
      <c r="N359" s="35"/>
      <c r="O359" s="39"/>
      <c r="U359" s="41">
        <f t="shared" si="310"/>
        <v>0</v>
      </c>
      <c r="W359" s="41">
        <f t="shared" si="311"/>
        <v>0</v>
      </c>
      <c r="X359" s="41">
        <f t="shared" si="312"/>
        <v>0</v>
      </c>
      <c r="Y359" s="41">
        <f t="shared" si="313"/>
        <v>0</v>
      </c>
      <c r="Z359" s="41">
        <f t="shared" si="314"/>
        <v>0</v>
      </c>
      <c r="AA359" s="41">
        <f t="shared" si="315"/>
        <v>0</v>
      </c>
      <c r="AB359" s="41">
        <f t="shared" si="316"/>
        <v>0</v>
      </c>
      <c r="AC359" s="41">
        <f t="shared" si="317"/>
        <v>0</v>
      </c>
      <c r="AD359" s="31"/>
      <c r="AE359" s="21">
        <f t="shared" si="318"/>
        <v>0</v>
      </c>
      <c r="AF359" s="21">
        <f t="shared" si="319"/>
        <v>0</v>
      </c>
      <c r="AG359" s="21">
        <f t="shared" si="320"/>
        <v>0</v>
      </c>
      <c r="AI359" s="41">
        <v>21</v>
      </c>
      <c r="AJ359" s="41">
        <f t="shared" si="321"/>
        <v>0</v>
      </c>
      <c r="AK359" s="41">
        <f t="shared" si="322"/>
        <v>0</v>
      </c>
      <c r="AL359" s="42" t="s">
        <v>13</v>
      </c>
      <c r="AQ359" s="41">
        <f t="shared" si="323"/>
        <v>0</v>
      </c>
      <c r="AR359" s="41">
        <f t="shared" si="324"/>
        <v>0</v>
      </c>
      <c r="AS359" s="41">
        <f t="shared" si="325"/>
        <v>0</v>
      </c>
      <c r="AT359" s="44" t="s">
        <v>2438</v>
      </c>
      <c r="AU359" s="44" t="s">
        <v>2480</v>
      </c>
      <c r="AV359" s="31" t="s">
        <v>2486</v>
      </c>
      <c r="AX359" s="41">
        <f t="shared" si="326"/>
        <v>0</v>
      </c>
      <c r="AY359" s="41">
        <f t="shared" si="327"/>
        <v>0</v>
      </c>
      <c r="AZ359" s="41">
        <v>0</v>
      </c>
      <c r="BA359" s="41">
        <f t="shared" si="328"/>
        <v>0</v>
      </c>
      <c r="BC359" s="21">
        <f t="shared" si="329"/>
        <v>0</v>
      </c>
      <c r="BD359" s="21">
        <f t="shared" si="330"/>
        <v>0</v>
      </c>
      <c r="BE359" s="21">
        <f t="shared" si="331"/>
        <v>0</v>
      </c>
      <c r="BF359" s="21" t="s">
        <v>2492</v>
      </c>
      <c r="BG359" s="41">
        <v>728</v>
      </c>
    </row>
    <row r="360" spans="1:59" x14ac:dyDescent="0.3">
      <c r="A360" s="4" t="s">
        <v>344</v>
      </c>
      <c r="B360" s="13"/>
      <c r="C360" s="13" t="s">
        <v>1136</v>
      </c>
      <c r="D360" s="101" t="s">
        <v>1746</v>
      </c>
      <c r="E360" s="102"/>
      <c r="F360" s="13" t="s">
        <v>2386</v>
      </c>
      <c r="G360" s="21">
        <v>1</v>
      </c>
      <c r="H360" s="21">
        <v>0</v>
      </c>
      <c r="I360" s="21">
        <f t="shared" si="306"/>
        <v>0</v>
      </c>
      <c r="J360" s="21">
        <f t="shared" si="307"/>
        <v>0</v>
      </c>
      <c r="K360" s="21">
        <f t="shared" si="308"/>
        <v>0</v>
      </c>
      <c r="L360" s="21">
        <v>0</v>
      </c>
      <c r="M360" s="21">
        <f t="shared" si="309"/>
        <v>0</v>
      </c>
      <c r="N360" s="35"/>
      <c r="O360" s="39"/>
      <c r="U360" s="41">
        <f t="shared" si="310"/>
        <v>0</v>
      </c>
      <c r="W360" s="41">
        <f t="shared" si="311"/>
        <v>0</v>
      </c>
      <c r="X360" s="41">
        <f t="shared" si="312"/>
        <v>0</v>
      </c>
      <c r="Y360" s="41">
        <f t="shared" si="313"/>
        <v>0</v>
      </c>
      <c r="Z360" s="41">
        <f t="shared" si="314"/>
        <v>0</v>
      </c>
      <c r="AA360" s="41">
        <f t="shared" si="315"/>
        <v>0</v>
      </c>
      <c r="AB360" s="41">
        <f t="shared" si="316"/>
        <v>0</v>
      </c>
      <c r="AC360" s="41">
        <f t="shared" si="317"/>
        <v>0</v>
      </c>
      <c r="AD360" s="31"/>
      <c r="AE360" s="21">
        <f t="shared" si="318"/>
        <v>0</v>
      </c>
      <c r="AF360" s="21">
        <f t="shared" si="319"/>
        <v>0</v>
      </c>
      <c r="AG360" s="21">
        <f t="shared" si="320"/>
        <v>0</v>
      </c>
      <c r="AI360" s="41">
        <v>21</v>
      </c>
      <c r="AJ360" s="41">
        <f t="shared" si="321"/>
        <v>0</v>
      </c>
      <c r="AK360" s="41">
        <f t="shared" si="322"/>
        <v>0</v>
      </c>
      <c r="AL360" s="42" t="s">
        <v>13</v>
      </c>
      <c r="AQ360" s="41">
        <f t="shared" si="323"/>
        <v>0</v>
      </c>
      <c r="AR360" s="41">
        <f t="shared" si="324"/>
        <v>0</v>
      </c>
      <c r="AS360" s="41">
        <f t="shared" si="325"/>
        <v>0</v>
      </c>
      <c r="AT360" s="44" t="s">
        <v>2438</v>
      </c>
      <c r="AU360" s="44" t="s">
        <v>2480</v>
      </c>
      <c r="AV360" s="31" t="s">
        <v>2486</v>
      </c>
      <c r="AX360" s="41">
        <f t="shared" si="326"/>
        <v>0</v>
      </c>
      <c r="AY360" s="41">
        <f t="shared" si="327"/>
        <v>0</v>
      </c>
      <c r="AZ360" s="41">
        <v>0</v>
      </c>
      <c r="BA360" s="41">
        <f t="shared" si="328"/>
        <v>0</v>
      </c>
      <c r="BC360" s="21">
        <f t="shared" si="329"/>
        <v>0</v>
      </c>
      <c r="BD360" s="21">
        <f t="shared" si="330"/>
        <v>0</v>
      </c>
      <c r="BE360" s="21">
        <f t="shared" si="331"/>
        <v>0</v>
      </c>
      <c r="BF360" s="21" t="s">
        <v>2492</v>
      </c>
      <c r="BG360" s="41">
        <v>728</v>
      </c>
    </row>
    <row r="361" spans="1:59" x14ac:dyDescent="0.3">
      <c r="A361" s="4" t="s">
        <v>345</v>
      </c>
      <c r="B361" s="13"/>
      <c r="C361" s="13" t="s">
        <v>1136</v>
      </c>
      <c r="D361" s="101" t="s">
        <v>1745</v>
      </c>
      <c r="E361" s="102"/>
      <c r="F361" s="13" t="s">
        <v>2386</v>
      </c>
      <c r="G361" s="21">
        <v>1</v>
      </c>
      <c r="H361" s="21">
        <v>0</v>
      </c>
      <c r="I361" s="21">
        <f t="shared" si="306"/>
        <v>0</v>
      </c>
      <c r="J361" s="21">
        <f t="shared" si="307"/>
        <v>0</v>
      </c>
      <c r="K361" s="21">
        <f t="shared" si="308"/>
        <v>0</v>
      </c>
      <c r="L361" s="21">
        <v>0</v>
      </c>
      <c r="M361" s="21">
        <f t="shared" si="309"/>
        <v>0</v>
      </c>
      <c r="N361" s="35"/>
      <c r="O361" s="39"/>
      <c r="U361" s="41">
        <f t="shared" si="310"/>
        <v>0</v>
      </c>
      <c r="W361" s="41">
        <f t="shared" si="311"/>
        <v>0</v>
      </c>
      <c r="X361" s="41">
        <f t="shared" si="312"/>
        <v>0</v>
      </c>
      <c r="Y361" s="41">
        <f t="shared" si="313"/>
        <v>0</v>
      </c>
      <c r="Z361" s="41">
        <f t="shared" si="314"/>
        <v>0</v>
      </c>
      <c r="AA361" s="41">
        <f t="shared" si="315"/>
        <v>0</v>
      </c>
      <c r="AB361" s="41">
        <f t="shared" si="316"/>
        <v>0</v>
      </c>
      <c r="AC361" s="41">
        <f t="shared" si="317"/>
        <v>0</v>
      </c>
      <c r="AD361" s="31"/>
      <c r="AE361" s="21">
        <f t="shared" si="318"/>
        <v>0</v>
      </c>
      <c r="AF361" s="21">
        <f t="shared" si="319"/>
        <v>0</v>
      </c>
      <c r="AG361" s="21">
        <f t="shared" si="320"/>
        <v>0</v>
      </c>
      <c r="AI361" s="41">
        <v>21</v>
      </c>
      <c r="AJ361" s="41">
        <f t="shared" si="321"/>
        <v>0</v>
      </c>
      <c r="AK361" s="41">
        <f t="shared" si="322"/>
        <v>0</v>
      </c>
      <c r="AL361" s="42" t="s">
        <v>13</v>
      </c>
      <c r="AQ361" s="41">
        <f t="shared" si="323"/>
        <v>0</v>
      </c>
      <c r="AR361" s="41">
        <f t="shared" si="324"/>
        <v>0</v>
      </c>
      <c r="AS361" s="41">
        <f t="shared" si="325"/>
        <v>0</v>
      </c>
      <c r="AT361" s="44" t="s">
        <v>2438</v>
      </c>
      <c r="AU361" s="44" t="s">
        <v>2480</v>
      </c>
      <c r="AV361" s="31" t="s">
        <v>2486</v>
      </c>
      <c r="AX361" s="41">
        <f t="shared" si="326"/>
        <v>0</v>
      </c>
      <c r="AY361" s="41">
        <f t="shared" si="327"/>
        <v>0</v>
      </c>
      <c r="AZ361" s="41">
        <v>0</v>
      </c>
      <c r="BA361" s="41">
        <f t="shared" si="328"/>
        <v>0</v>
      </c>
      <c r="BC361" s="21">
        <f t="shared" si="329"/>
        <v>0</v>
      </c>
      <c r="BD361" s="21">
        <f t="shared" si="330"/>
        <v>0</v>
      </c>
      <c r="BE361" s="21">
        <f t="shared" si="331"/>
        <v>0</v>
      </c>
      <c r="BF361" s="21" t="s">
        <v>2492</v>
      </c>
      <c r="BG361" s="41">
        <v>728</v>
      </c>
    </row>
    <row r="362" spans="1:59" x14ac:dyDescent="0.3">
      <c r="A362" s="4" t="s">
        <v>346</v>
      </c>
      <c r="B362" s="13"/>
      <c r="C362" s="13" t="s">
        <v>1136</v>
      </c>
      <c r="D362" s="101" t="s">
        <v>1864</v>
      </c>
      <c r="E362" s="102"/>
      <c r="F362" s="13" t="s">
        <v>2386</v>
      </c>
      <c r="G362" s="21">
        <v>1</v>
      </c>
      <c r="H362" s="21">
        <v>0</v>
      </c>
      <c r="I362" s="21">
        <f t="shared" si="306"/>
        <v>0</v>
      </c>
      <c r="J362" s="21">
        <f t="shared" si="307"/>
        <v>0</v>
      </c>
      <c r="K362" s="21">
        <f t="shared" si="308"/>
        <v>0</v>
      </c>
      <c r="L362" s="21">
        <v>0</v>
      </c>
      <c r="M362" s="21">
        <f t="shared" si="309"/>
        <v>0</v>
      </c>
      <c r="N362" s="35"/>
      <c r="O362" s="39"/>
      <c r="U362" s="41">
        <f t="shared" si="310"/>
        <v>0</v>
      </c>
      <c r="W362" s="41">
        <f t="shared" si="311"/>
        <v>0</v>
      </c>
      <c r="X362" s="41">
        <f t="shared" si="312"/>
        <v>0</v>
      </c>
      <c r="Y362" s="41">
        <f t="shared" si="313"/>
        <v>0</v>
      </c>
      <c r="Z362" s="41">
        <f t="shared" si="314"/>
        <v>0</v>
      </c>
      <c r="AA362" s="41">
        <f t="shared" si="315"/>
        <v>0</v>
      </c>
      <c r="AB362" s="41">
        <f t="shared" si="316"/>
        <v>0</v>
      </c>
      <c r="AC362" s="41">
        <f t="shared" si="317"/>
        <v>0</v>
      </c>
      <c r="AD362" s="31"/>
      <c r="AE362" s="21">
        <f t="shared" si="318"/>
        <v>0</v>
      </c>
      <c r="AF362" s="21">
        <f t="shared" si="319"/>
        <v>0</v>
      </c>
      <c r="AG362" s="21">
        <f t="shared" si="320"/>
        <v>0</v>
      </c>
      <c r="AI362" s="41">
        <v>21</v>
      </c>
      <c r="AJ362" s="41">
        <f t="shared" si="321"/>
        <v>0</v>
      </c>
      <c r="AK362" s="41">
        <f t="shared" si="322"/>
        <v>0</v>
      </c>
      <c r="AL362" s="42" t="s">
        <v>13</v>
      </c>
      <c r="AQ362" s="41">
        <f t="shared" si="323"/>
        <v>0</v>
      </c>
      <c r="AR362" s="41">
        <f t="shared" si="324"/>
        <v>0</v>
      </c>
      <c r="AS362" s="41">
        <f t="shared" si="325"/>
        <v>0</v>
      </c>
      <c r="AT362" s="44" t="s">
        <v>2438</v>
      </c>
      <c r="AU362" s="44" t="s">
        <v>2480</v>
      </c>
      <c r="AV362" s="31" t="s">
        <v>2486</v>
      </c>
      <c r="AX362" s="41">
        <f t="shared" si="326"/>
        <v>0</v>
      </c>
      <c r="AY362" s="41">
        <f t="shared" si="327"/>
        <v>0</v>
      </c>
      <c r="AZ362" s="41">
        <v>0</v>
      </c>
      <c r="BA362" s="41">
        <f t="shared" si="328"/>
        <v>0</v>
      </c>
      <c r="BC362" s="21">
        <f t="shared" si="329"/>
        <v>0</v>
      </c>
      <c r="BD362" s="21">
        <f t="shared" si="330"/>
        <v>0</v>
      </c>
      <c r="BE362" s="21">
        <f t="shared" si="331"/>
        <v>0</v>
      </c>
      <c r="BF362" s="21" t="s">
        <v>2492</v>
      </c>
      <c r="BG362" s="41">
        <v>728</v>
      </c>
    </row>
    <row r="363" spans="1:59" x14ac:dyDescent="0.3">
      <c r="A363" s="4" t="s">
        <v>347</v>
      </c>
      <c r="B363" s="13"/>
      <c r="C363" s="13" t="s">
        <v>1136</v>
      </c>
      <c r="D363" s="101" t="s">
        <v>1865</v>
      </c>
      <c r="E363" s="102"/>
      <c r="F363" s="13" t="s">
        <v>2386</v>
      </c>
      <c r="G363" s="21">
        <v>1</v>
      </c>
      <c r="H363" s="21">
        <v>0</v>
      </c>
      <c r="I363" s="21">
        <f t="shared" si="306"/>
        <v>0</v>
      </c>
      <c r="J363" s="21">
        <f t="shared" si="307"/>
        <v>0</v>
      </c>
      <c r="K363" s="21">
        <f t="shared" si="308"/>
        <v>0</v>
      </c>
      <c r="L363" s="21">
        <v>0</v>
      </c>
      <c r="M363" s="21">
        <f t="shared" si="309"/>
        <v>0</v>
      </c>
      <c r="N363" s="35"/>
      <c r="O363" s="39"/>
      <c r="U363" s="41">
        <f t="shared" si="310"/>
        <v>0</v>
      </c>
      <c r="W363" s="41">
        <f t="shared" si="311"/>
        <v>0</v>
      </c>
      <c r="X363" s="41">
        <f t="shared" si="312"/>
        <v>0</v>
      </c>
      <c r="Y363" s="41">
        <f t="shared" si="313"/>
        <v>0</v>
      </c>
      <c r="Z363" s="41">
        <f t="shared" si="314"/>
        <v>0</v>
      </c>
      <c r="AA363" s="41">
        <f t="shared" si="315"/>
        <v>0</v>
      </c>
      <c r="AB363" s="41">
        <f t="shared" si="316"/>
        <v>0</v>
      </c>
      <c r="AC363" s="41">
        <f t="shared" si="317"/>
        <v>0</v>
      </c>
      <c r="AD363" s="31"/>
      <c r="AE363" s="21">
        <f t="shared" si="318"/>
        <v>0</v>
      </c>
      <c r="AF363" s="21">
        <f t="shared" si="319"/>
        <v>0</v>
      </c>
      <c r="AG363" s="21">
        <f t="shared" si="320"/>
        <v>0</v>
      </c>
      <c r="AI363" s="41">
        <v>21</v>
      </c>
      <c r="AJ363" s="41">
        <f t="shared" si="321"/>
        <v>0</v>
      </c>
      <c r="AK363" s="41">
        <f t="shared" si="322"/>
        <v>0</v>
      </c>
      <c r="AL363" s="42" t="s">
        <v>13</v>
      </c>
      <c r="AQ363" s="41">
        <f t="shared" si="323"/>
        <v>0</v>
      </c>
      <c r="AR363" s="41">
        <f t="shared" si="324"/>
        <v>0</v>
      </c>
      <c r="AS363" s="41">
        <f t="shared" si="325"/>
        <v>0</v>
      </c>
      <c r="AT363" s="44" t="s">
        <v>2438</v>
      </c>
      <c r="AU363" s="44" t="s">
        <v>2480</v>
      </c>
      <c r="AV363" s="31" t="s">
        <v>2486</v>
      </c>
      <c r="AX363" s="41">
        <f t="shared" si="326"/>
        <v>0</v>
      </c>
      <c r="AY363" s="41">
        <f t="shared" si="327"/>
        <v>0</v>
      </c>
      <c r="AZ363" s="41">
        <v>0</v>
      </c>
      <c r="BA363" s="41">
        <f t="shared" si="328"/>
        <v>0</v>
      </c>
      <c r="BC363" s="21">
        <f t="shared" si="329"/>
        <v>0</v>
      </c>
      <c r="BD363" s="21">
        <f t="shared" si="330"/>
        <v>0</v>
      </c>
      <c r="BE363" s="21">
        <f t="shared" si="331"/>
        <v>0</v>
      </c>
      <c r="BF363" s="21" t="s">
        <v>2492</v>
      </c>
      <c r="BG363" s="41">
        <v>728</v>
      </c>
    </row>
    <row r="364" spans="1:59" x14ac:dyDescent="0.3">
      <c r="A364" s="5"/>
      <c r="B364" s="14"/>
      <c r="C364" s="14" t="s">
        <v>733</v>
      </c>
      <c r="D364" s="103" t="s">
        <v>1866</v>
      </c>
      <c r="E364" s="104"/>
      <c r="F364" s="19" t="s">
        <v>6</v>
      </c>
      <c r="G364" s="19" t="s">
        <v>6</v>
      </c>
      <c r="H364" s="19" t="s">
        <v>6</v>
      </c>
      <c r="I364" s="47">
        <f>SUM(I365:I449)</f>
        <v>0</v>
      </c>
      <c r="J364" s="47">
        <f>SUM(J365:J449)</f>
        <v>0</v>
      </c>
      <c r="K364" s="47">
        <f>SUM(K365:K449)</f>
        <v>0</v>
      </c>
      <c r="L364" s="31"/>
      <c r="M364" s="47">
        <f>SUM(M365:M449)</f>
        <v>-0.21392</v>
      </c>
      <c r="N364" s="36"/>
      <c r="O364" s="39"/>
      <c r="AD364" s="31"/>
      <c r="AN364" s="47">
        <f>SUM(AE365:AE449)</f>
        <v>0</v>
      </c>
      <c r="AO364" s="47">
        <f>SUM(AF365:AF449)</f>
        <v>0</v>
      </c>
      <c r="AP364" s="47">
        <f>SUM(AG365:AG449)</f>
        <v>0</v>
      </c>
    </row>
    <row r="365" spans="1:59" ht="12.75" customHeight="1" x14ac:dyDescent="0.3">
      <c r="A365" s="4" t="s">
        <v>348</v>
      </c>
      <c r="B365" s="13"/>
      <c r="C365" s="13" t="s">
        <v>1137</v>
      </c>
      <c r="D365" s="101" t="s">
        <v>1867</v>
      </c>
      <c r="E365" s="102"/>
      <c r="F365" s="13" t="s">
        <v>2386</v>
      </c>
      <c r="G365" s="21">
        <v>1</v>
      </c>
      <c r="H365" s="21">
        <v>0</v>
      </c>
      <c r="I365" s="21">
        <f t="shared" ref="I365:I396" si="332">G365*AJ365</f>
        <v>0</v>
      </c>
      <c r="J365" s="21">
        <f t="shared" ref="J365:J396" si="333">G365*AK365</f>
        <v>0</v>
      </c>
      <c r="K365" s="21">
        <f t="shared" ref="K365:K396" si="334">G365*H365</f>
        <v>0</v>
      </c>
      <c r="L365" s="21">
        <v>0</v>
      </c>
      <c r="M365" s="21">
        <f t="shared" ref="M365:M396" si="335">G365*L365</f>
        <v>0</v>
      </c>
      <c r="N365" s="35"/>
      <c r="O365" s="39"/>
      <c r="U365" s="41">
        <f t="shared" ref="U365:U396" si="336">IF(AL365="5",BE365,0)</f>
        <v>0</v>
      </c>
      <c r="W365" s="41">
        <f t="shared" ref="W365:W396" si="337">IF(AL365="1",BC365,0)</f>
        <v>0</v>
      </c>
      <c r="X365" s="41">
        <f t="shared" ref="X365:X396" si="338">IF(AL365="1",BD365,0)</f>
        <v>0</v>
      </c>
      <c r="Y365" s="41">
        <f t="shared" ref="Y365:Y396" si="339">IF(AL365="7",BC365,0)</f>
        <v>0</v>
      </c>
      <c r="Z365" s="41">
        <f t="shared" ref="Z365:Z396" si="340">IF(AL365="7",BD365,0)</f>
        <v>0</v>
      </c>
      <c r="AA365" s="41">
        <f t="shared" ref="AA365:AA396" si="341">IF(AL365="2",BC365,0)</f>
        <v>0</v>
      </c>
      <c r="AB365" s="41">
        <f t="shared" ref="AB365:AB396" si="342">IF(AL365="2",BD365,0)</f>
        <v>0</v>
      </c>
      <c r="AC365" s="41">
        <f t="shared" ref="AC365:AC396" si="343">IF(AL365="0",BE365,0)</f>
        <v>0</v>
      </c>
      <c r="AD365" s="31"/>
      <c r="AE365" s="21">
        <f t="shared" ref="AE365:AE396" si="344">IF(AI365=0,K365,0)</f>
        <v>0</v>
      </c>
      <c r="AF365" s="21">
        <f t="shared" ref="AF365:AF396" si="345">IF(AI365=15,K365,0)</f>
        <v>0</v>
      </c>
      <c r="AG365" s="21">
        <f t="shared" ref="AG365:AG396" si="346">IF(AI365=21,K365,0)</f>
        <v>0</v>
      </c>
      <c r="AI365" s="41">
        <v>21</v>
      </c>
      <c r="AJ365" s="41">
        <f t="shared" ref="AJ365:AJ396" si="347">H365*0</f>
        <v>0</v>
      </c>
      <c r="AK365" s="41">
        <f t="shared" ref="AK365:AK396" si="348">H365*(1-0)</f>
        <v>0</v>
      </c>
      <c r="AL365" s="42" t="s">
        <v>13</v>
      </c>
      <c r="AQ365" s="41">
        <f t="shared" ref="AQ365:AQ396" si="349">AR365+AS365</f>
        <v>0</v>
      </c>
      <c r="AR365" s="41">
        <f t="shared" ref="AR365:AR396" si="350">G365*AJ365</f>
        <v>0</v>
      </c>
      <c r="AS365" s="41">
        <f t="shared" ref="AS365:AS396" si="351">G365*AK365</f>
        <v>0</v>
      </c>
      <c r="AT365" s="44" t="s">
        <v>2439</v>
      </c>
      <c r="AU365" s="44" t="s">
        <v>2481</v>
      </c>
      <c r="AV365" s="31" t="s">
        <v>2486</v>
      </c>
      <c r="AX365" s="41">
        <f t="shared" ref="AX365:AX396" si="352">AR365+AS365</f>
        <v>0</v>
      </c>
      <c r="AY365" s="41">
        <f t="shared" ref="AY365:AY396" si="353">H365/(100-AZ365)*100</f>
        <v>0</v>
      </c>
      <c r="AZ365" s="41">
        <v>0</v>
      </c>
      <c r="BA365" s="41">
        <f t="shared" ref="BA365:BA396" si="354">M365</f>
        <v>0</v>
      </c>
      <c r="BC365" s="21">
        <f t="shared" ref="BC365:BC396" si="355">G365*AJ365</f>
        <v>0</v>
      </c>
      <c r="BD365" s="21">
        <f t="shared" ref="BD365:BD396" si="356">G365*AK365</f>
        <v>0</v>
      </c>
      <c r="BE365" s="21">
        <f t="shared" ref="BE365:BE396" si="357">G365*H365</f>
        <v>0</v>
      </c>
      <c r="BF365" s="21" t="s">
        <v>2492</v>
      </c>
      <c r="BG365" s="41">
        <v>731</v>
      </c>
    </row>
    <row r="366" spans="1:59" x14ac:dyDescent="0.3">
      <c r="A366" s="4" t="s">
        <v>349</v>
      </c>
      <c r="B366" s="13"/>
      <c r="C366" s="13" t="s">
        <v>1137</v>
      </c>
      <c r="D366" s="101" t="s">
        <v>1868</v>
      </c>
      <c r="E366" s="102"/>
      <c r="F366" s="13" t="s">
        <v>2386</v>
      </c>
      <c r="G366" s="21">
        <v>1</v>
      </c>
      <c r="H366" s="21">
        <v>0</v>
      </c>
      <c r="I366" s="21">
        <f t="shared" si="332"/>
        <v>0</v>
      </c>
      <c r="J366" s="21">
        <f t="shared" si="333"/>
        <v>0</v>
      </c>
      <c r="K366" s="21">
        <f t="shared" si="334"/>
        <v>0</v>
      </c>
      <c r="L366" s="21">
        <v>0</v>
      </c>
      <c r="M366" s="21">
        <f t="shared" si="335"/>
        <v>0</v>
      </c>
      <c r="N366" s="35"/>
      <c r="O366" s="39"/>
      <c r="U366" s="41">
        <f t="shared" si="336"/>
        <v>0</v>
      </c>
      <c r="W366" s="41">
        <f t="shared" si="337"/>
        <v>0</v>
      </c>
      <c r="X366" s="41">
        <f t="shared" si="338"/>
        <v>0</v>
      </c>
      <c r="Y366" s="41">
        <f t="shared" si="339"/>
        <v>0</v>
      </c>
      <c r="Z366" s="41">
        <f t="shared" si="340"/>
        <v>0</v>
      </c>
      <c r="AA366" s="41">
        <f t="shared" si="341"/>
        <v>0</v>
      </c>
      <c r="AB366" s="41">
        <f t="shared" si="342"/>
        <v>0</v>
      </c>
      <c r="AC366" s="41">
        <f t="shared" si="343"/>
        <v>0</v>
      </c>
      <c r="AD366" s="31"/>
      <c r="AE366" s="21">
        <f t="shared" si="344"/>
        <v>0</v>
      </c>
      <c r="AF366" s="21">
        <f t="shared" si="345"/>
        <v>0</v>
      </c>
      <c r="AG366" s="21">
        <f t="shared" si="346"/>
        <v>0</v>
      </c>
      <c r="AI366" s="41">
        <v>21</v>
      </c>
      <c r="AJ366" s="41">
        <f t="shared" si="347"/>
        <v>0</v>
      </c>
      <c r="AK366" s="41">
        <f t="shared" si="348"/>
        <v>0</v>
      </c>
      <c r="AL366" s="42" t="s">
        <v>13</v>
      </c>
      <c r="AQ366" s="41">
        <f t="shared" si="349"/>
        <v>0</v>
      </c>
      <c r="AR366" s="41">
        <f t="shared" si="350"/>
        <v>0</v>
      </c>
      <c r="AS366" s="41">
        <f t="shared" si="351"/>
        <v>0</v>
      </c>
      <c r="AT366" s="44" t="s">
        <v>2439</v>
      </c>
      <c r="AU366" s="44" t="s">
        <v>2481</v>
      </c>
      <c r="AV366" s="31" t="s">
        <v>2486</v>
      </c>
      <c r="AX366" s="41">
        <f t="shared" si="352"/>
        <v>0</v>
      </c>
      <c r="AY366" s="41">
        <f t="shared" si="353"/>
        <v>0</v>
      </c>
      <c r="AZ366" s="41">
        <v>0</v>
      </c>
      <c r="BA366" s="41">
        <f t="shared" si="354"/>
        <v>0</v>
      </c>
      <c r="BC366" s="21">
        <f t="shared" si="355"/>
        <v>0</v>
      </c>
      <c r="BD366" s="21">
        <f t="shared" si="356"/>
        <v>0</v>
      </c>
      <c r="BE366" s="21">
        <f t="shared" si="357"/>
        <v>0</v>
      </c>
      <c r="BF366" s="21" t="s">
        <v>2492</v>
      </c>
      <c r="BG366" s="41">
        <v>731</v>
      </c>
    </row>
    <row r="367" spans="1:59" x14ac:dyDescent="0.3">
      <c r="A367" s="4" t="s">
        <v>350</v>
      </c>
      <c r="B367" s="13"/>
      <c r="C367" s="13" t="s">
        <v>1137</v>
      </c>
      <c r="D367" s="101" t="s">
        <v>1869</v>
      </c>
      <c r="E367" s="102"/>
      <c r="F367" s="13" t="s">
        <v>2386</v>
      </c>
      <c r="G367" s="21">
        <v>2</v>
      </c>
      <c r="H367" s="21">
        <v>0</v>
      </c>
      <c r="I367" s="21">
        <f t="shared" si="332"/>
        <v>0</v>
      </c>
      <c r="J367" s="21">
        <f t="shared" si="333"/>
        <v>0</v>
      </c>
      <c r="K367" s="21">
        <f t="shared" si="334"/>
        <v>0</v>
      </c>
      <c r="L367" s="21">
        <v>0</v>
      </c>
      <c r="M367" s="21">
        <f t="shared" si="335"/>
        <v>0</v>
      </c>
      <c r="N367" s="35"/>
      <c r="O367" s="39"/>
      <c r="U367" s="41">
        <f t="shared" si="336"/>
        <v>0</v>
      </c>
      <c r="W367" s="41">
        <f t="shared" si="337"/>
        <v>0</v>
      </c>
      <c r="X367" s="41">
        <f t="shared" si="338"/>
        <v>0</v>
      </c>
      <c r="Y367" s="41">
        <f t="shared" si="339"/>
        <v>0</v>
      </c>
      <c r="Z367" s="41">
        <f t="shared" si="340"/>
        <v>0</v>
      </c>
      <c r="AA367" s="41">
        <f t="shared" si="341"/>
        <v>0</v>
      </c>
      <c r="AB367" s="41">
        <f t="shared" si="342"/>
        <v>0</v>
      </c>
      <c r="AC367" s="41">
        <f t="shared" si="343"/>
        <v>0</v>
      </c>
      <c r="AD367" s="31"/>
      <c r="AE367" s="21">
        <f t="shared" si="344"/>
        <v>0</v>
      </c>
      <c r="AF367" s="21">
        <f t="shared" si="345"/>
        <v>0</v>
      </c>
      <c r="AG367" s="21">
        <f t="shared" si="346"/>
        <v>0</v>
      </c>
      <c r="AI367" s="41">
        <v>21</v>
      </c>
      <c r="AJ367" s="41">
        <f t="shared" si="347"/>
        <v>0</v>
      </c>
      <c r="AK367" s="41">
        <f t="shared" si="348"/>
        <v>0</v>
      </c>
      <c r="AL367" s="42" t="s">
        <v>13</v>
      </c>
      <c r="AQ367" s="41">
        <f t="shared" si="349"/>
        <v>0</v>
      </c>
      <c r="AR367" s="41">
        <f t="shared" si="350"/>
        <v>0</v>
      </c>
      <c r="AS367" s="41">
        <f t="shared" si="351"/>
        <v>0</v>
      </c>
      <c r="AT367" s="44" t="s">
        <v>2439</v>
      </c>
      <c r="AU367" s="44" t="s">
        <v>2481</v>
      </c>
      <c r="AV367" s="31" t="s">
        <v>2486</v>
      </c>
      <c r="AX367" s="41">
        <f t="shared" si="352"/>
        <v>0</v>
      </c>
      <c r="AY367" s="41">
        <f t="shared" si="353"/>
        <v>0</v>
      </c>
      <c r="AZ367" s="41">
        <v>0</v>
      </c>
      <c r="BA367" s="41">
        <f t="shared" si="354"/>
        <v>0</v>
      </c>
      <c r="BC367" s="21">
        <f t="shared" si="355"/>
        <v>0</v>
      </c>
      <c r="BD367" s="21">
        <f t="shared" si="356"/>
        <v>0</v>
      </c>
      <c r="BE367" s="21">
        <f t="shared" si="357"/>
        <v>0</v>
      </c>
      <c r="BF367" s="21" t="s">
        <v>2492</v>
      </c>
      <c r="BG367" s="41">
        <v>731</v>
      </c>
    </row>
    <row r="368" spans="1:59" x14ac:dyDescent="0.3">
      <c r="A368" s="4" t="s">
        <v>351</v>
      </c>
      <c r="B368" s="13"/>
      <c r="C368" s="13" t="s">
        <v>1137</v>
      </c>
      <c r="D368" s="101" t="s">
        <v>1870</v>
      </c>
      <c r="E368" s="102"/>
      <c r="F368" s="13" t="s">
        <v>2386</v>
      </c>
      <c r="G368" s="21">
        <v>2</v>
      </c>
      <c r="H368" s="21">
        <v>0</v>
      </c>
      <c r="I368" s="21">
        <f t="shared" si="332"/>
        <v>0</v>
      </c>
      <c r="J368" s="21">
        <f t="shared" si="333"/>
        <v>0</v>
      </c>
      <c r="K368" s="21">
        <f t="shared" si="334"/>
        <v>0</v>
      </c>
      <c r="L368" s="21">
        <v>0</v>
      </c>
      <c r="M368" s="21">
        <f t="shared" si="335"/>
        <v>0</v>
      </c>
      <c r="N368" s="35"/>
      <c r="O368" s="39"/>
      <c r="U368" s="41">
        <f t="shared" si="336"/>
        <v>0</v>
      </c>
      <c r="W368" s="41">
        <f t="shared" si="337"/>
        <v>0</v>
      </c>
      <c r="X368" s="41">
        <f t="shared" si="338"/>
        <v>0</v>
      </c>
      <c r="Y368" s="41">
        <f t="shared" si="339"/>
        <v>0</v>
      </c>
      <c r="Z368" s="41">
        <f t="shared" si="340"/>
        <v>0</v>
      </c>
      <c r="AA368" s="41">
        <f t="shared" si="341"/>
        <v>0</v>
      </c>
      <c r="AB368" s="41">
        <f t="shared" si="342"/>
        <v>0</v>
      </c>
      <c r="AC368" s="41">
        <f t="shared" si="343"/>
        <v>0</v>
      </c>
      <c r="AD368" s="31"/>
      <c r="AE368" s="21">
        <f t="shared" si="344"/>
        <v>0</v>
      </c>
      <c r="AF368" s="21">
        <f t="shared" si="345"/>
        <v>0</v>
      </c>
      <c r="AG368" s="21">
        <f t="shared" si="346"/>
        <v>0</v>
      </c>
      <c r="AI368" s="41">
        <v>21</v>
      </c>
      <c r="AJ368" s="41">
        <f t="shared" si="347"/>
        <v>0</v>
      </c>
      <c r="AK368" s="41">
        <f t="shared" si="348"/>
        <v>0</v>
      </c>
      <c r="AL368" s="42" t="s">
        <v>13</v>
      </c>
      <c r="AQ368" s="41">
        <f t="shared" si="349"/>
        <v>0</v>
      </c>
      <c r="AR368" s="41">
        <f t="shared" si="350"/>
        <v>0</v>
      </c>
      <c r="AS368" s="41">
        <f t="shared" si="351"/>
        <v>0</v>
      </c>
      <c r="AT368" s="44" t="s">
        <v>2439</v>
      </c>
      <c r="AU368" s="44" t="s">
        <v>2481</v>
      </c>
      <c r="AV368" s="31" t="s">
        <v>2486</v>
      </c>
      <c r="AX368" s="41">
        <f t="shared" si="352"/>
        <v>0</v>
      </c>
      <c r="AY368" s="41">
        <f t="shared" si="353"/>
        <v>0</v>
      </c>
      <c r="AZ368" s="41">
        <v>0</v>
      </c>
      <c r="BA368" s="41">
        <f t="shared" si="354"/>
        <v>0</v>
      </c>
      <c r="BC368" s="21">
        <f t="shared" si="355"/>
        <v>0</v>
      </c>
      <c r="BD368" s="21">
        <f t="shared" si="356"/>
        <v>0</v>
      </c>
      <c r="BE368" s="21">
        <f t="shared" si="357"/>
        <v>0</v>
      </c>
      <c r="BF368" s="21" t="s">
        <v>2492</v>
      </c>
      <c r="BG368" s="41">
        <v>731</v>
      </c>
    </row>
    <row r="369" spans="1:59" x14ac:dyDescent="0.3">
      <c r="A369" s="4" t="s">
        <v>352</v>
      </c>
      <c r="B369" s="13"/>
      <c r="C369" s="13" t="s">
        <v>1137</v>
      </c>
      <c r="D369" s="101" t="s">
        <v>1871</v>
      </c>
      <c r="E369" s="102"/>
      <c r="F369" s="13" t="s">
        <v>2386</v>
      </c>
      <c r="G369" s="21">
        <v>2</v>
      </c>
      <c r="H369" s="21">
        <v>0</v>
      </c>
      <c r="I369" s="21">
        <f t="shared" si="332"/>
        <v>0</v>
      </c>
      <c r="J369" s="21">
        <f t="shared" si="333"/>
        <v>0</v>
      </c>
      <c r="K369" s="21">
        <f t="shared" si="334"/>
        <v>0</v>
      </c>
      <c r="L369" s="21">
        <v>0</v>
      </c>
      <c r="M369" s="21">
        <f t="shared" si="335"/>
        <v>0</v>
      </c>
      <c r="N369" s="35"/>
      <c r="O369" s="39"/>
      <c r="U369" s="41">
        <f t="shared" si="336"/>
        <v>0</v>
      </c>
      <c r="W369" s="41">
        <f t="shared" si="337"/>
        <v>0</v>
      </c>
      <c r="X369" s="41">
        <f t="shared" si="338"/>
        <v>0</v>
      </c>
      <c r="Y369" s="41">
        <f t="shared" si="339"/>
        <v>0</v>
      </c>
      <c r="Z369" s="41">
        <f t="shared" si="340"/>
        <v>0</v>
      </c>
      <c r="AA369" s="41">
        <f t="shared" si="341"/>
        <v>0</v>
      </c>
      <c r="AB369" s="41">
        <f t="shared" si="342"/>
        <v>0</v>
      </c>
      <c r="AC369" s="41">
        <f t="shared" si="343"/>
        <v>0</v>
      </c>
      <c r="AD369" s="31"/>
      <c r="AE369" s="21">
        <f t="shared" si="344"/>
        <v>0</v>
      </c>
      <c r="AF369" s="21">
        <f t="shared" si="345"/>
        <v>0</v>
      </c>
      <c r="AG369" s="21">
        <f t="shared" si="346"/>
        <v>0</v>
      </c>
      <c r="AI369" s="41">
        <v>21</v>
      </c>
      <c r="AJ369" s="41">
        <f t="shared" si="347"/>
        <v>0</v>
      </c>
      <c r="AK369" s="41">
        <f t="shared" si="348"/>
        <v>0</v>
      </c>
      <c r="AL369" s="42" t="s">
        <v>13</v>
      </c>
      <c r="AQ369" s="41">
        <f t="shared" si="349"/>
        <v>0</v>
      </c>
      <c r="AR369" s="41">
        <f t="shared" si="350"/>
        <v>0</v>
      </c>
      <c r="AS369" s="41">
        <f t="shared" si="351"/>
        <v>0</v>
      </c>
      <c r="AT369" s="44" t="s">
        <v>2439</v>
      </c>
      <c r="AU369" s="44" t="s">
        <v>2481</v>
      </c>
      <c r="AV369" s="31" t="s">
        <v>2486</v>
      </c>
      <c r="AX369" s="41">
        <f t="shared" si="352"/>
        <v>0</v>
      </c>
      <c r="AY369" s="41">
        <f t="shared" si="353"/>
        <v>0</v>
      </c>
      <c r="AZ369" s="41">
        <v>0</v>
      </c>
      <c r="BA369" s="41">
        <f t="shared" si="354"/>
        <v>0</v>
      </c>
      <c r="BC369" s="21">
        <f t="shared" si="355"/>
        <v>0</v>
      </c>
      <c r="BD369" s="21">
        <f t="shared" si="356"/>
        <v>0</v>
      </c>
      <c r="BE369" s="21">
        <f t="shared" si="357"/>
        <v>0</v>
      </c>
      <c r="BF369" s="21" t="s">
        <v>2492</v>
      </c>
      <c r="BG369" s="41">
        <v>731</v>
      </c>
    </row>
    <row r="370" spans="1:59" x14ac:dyDescent="0.3">
      <c r="A370" s="4" t="s">
        <v>353</v>
      </c>
      <c r="B370" s="13"/>
      <c r="C370" s="13" t="s">
        <v>1137</v>
      </c>
      <c r="D370" s="101" t="s">
        <v>1872</v>
      </c>
      <c r="E370" s="102"/>
      <c r="F370" s="13" t="s">
        <v>2384</v>
      </c>
      <c r="G370" s="21">
        <v>8</v>
      </c>
      <c r="H370" s="21">
        <v>0</v>
      </c>
      <c r="I370" s="21">
        <f t="shared" si="332"/>
        <v>0</v>
      </c>
      <c r="J370" s="21">
        <f t="shared" si="333"/>
        <v>0</v>
      </c>
      <c r="K370" s="21">
        <f t="shared" si="334"/>
        <v>0</v>
      </c>
      <c r="L370" s="21">
        <v>0</v>
      </c>
      <c r="M370" s="21">
        <f t="shared" si="335"/>
        <v>0</v>
      </c>
      <c r="N370" s="35"/>
      <c r="O370" s="39"/>
      <c r="U370" s="41">
        <f t="shared" si="336"/>
        <v>0</v>
      </c>
      <c r="W370" s="41">
        <f t="shared" si="337"/>
        <v>0</v>
      </c>
      <c r="X370" s="41">
        <f t="shared" si="338"/>
        <v>0</v>
      </c>
      <c r="Y370" s="41">
        <f t="shared" si="339"/>
        <v>0</v>
      </c>
      <c r="Z370" s="41">
        <f t="shared" si="340"/>
        <v>0</v>
      </c>
      <c r="AA370" s="41">
        <f t="shared" si="341"/>
        <v>0</v>
      </c>
      <c r="AB370" s="41">
        <f t="shared" si="342"/>
        <v>0</v>
      </c>
      <c r="AC370" s="41">
        <f t="shared" si="343"/>
        <v>0</v>
      </c>
      <c r="AD370" s="31"/>
      <c r="AE370" s="21">
        <f t="shared" si="344"/>
        <v>0</v>
      </c>
      <c r="AF370" s="21">
        <f t="shared" si="345"/>
        <v>0</v>
      </c>
      <c r="AG370" s="21">
        <f t="shared" si="346"/>
        <v>0</v>
      </c>
      <c r="AI370" s="41">
        <v>21</v>
      </c>
      <c r="AJ370" s="41">
        <f t="shared" si="347"/>
        <v>0</v>
      </c>
      <c r="AK370" s="41">
        <f t="shared" si="348"/>
        <v>0</v>
      </c>
      <c r="AL370" s="42" t="s">
        <v>13</v>
      </c>
      <c r="AQ370" s="41">
        <f t="shared" si="349"/>
        <v>0</v>
      </c>
      <c r="AR370" s="41">
        <f t="shared" si="350"/>
        <v>0</v>
      </c>
      <c r="AS370" s="41">
        <f t="shared" si="351"/>
        <v>0</v>
      </c>
      <c r="AT370" s="44" t="s">
        <v>2439</v>
      </c>
      <c r="AU370" s="44" t="s">
        <v>2481</v>
      </c>
      <c r="AV370" s="31" t="s">
        <v>2486</v>
      </c>
      <c r="AX370" s="41">
        <f t="shared" si="352"/>
        <v>0</v>
      </c>
      <c r="AY370" s="41">
        <f t="shared" si="353"/>
        <v>0</v>
      </c>
      <c r="AZ370" s="41">
        <v>0</v>
      </c>
      <c r="BA370" s="41">
        <f t="shared" si="354"/>
        <v>0</v>
      </c>
      <c r="BC370" s="21">
        <f t="shared" si="355"/>
        <v>0</v>
      </c>
      <c r="BD370" s="21">
        <f t="shared" si="356"/>
        <v>0</v>
      </c>
      <c r="BE370" s="21">
        <f t="shared" si="357"/>
        <v>0</v>
      </c>
      <c r="BF370" s="21" t="s">
        <v>2492</v>
      </c>
      <c r="BG370" s="41">
        <v>731</v>
      </c>
    </row>
    <row r="371" spans="1:59" x14ac:dyDescent="0.3">
      <c r="A371" s="4" t="s">
        <v>354</v>
      </c>
      <c r="B371" s="13"/>
      <c r="C371" s="13" t="s">
        <v>1137</v>
      </c>
      <c r="D371" s="101" t="s">
        <v>1873</v>
      </c>
      <c r="E371" s="102"/>
      <c r="F371" s="13" t="s">
        <v>2384</v>
      </c>
      <c r="G371" s="21">
        <v>2</v>
      </c>
      <c r="H371" s="21">
        <v>0</v>
      </c>
      <c r="I371" s="21">
        <f t="shared" si="332"/>
        <v>0</v>
      </c>
      <c r="J371" s="21">
        <f t="shared" si="333"/>
        <v>0</v>
      </c>
      <c r="K371" s="21">
        <f t="shared" si="334"/>
        <v>0</v>
      </c>
      <c r="L371" s="21">
        <v>0</v>
      </c>
      <c r="M371" s="21">
        <f t="shared" si="335"/>
        <v>0</v>
      </c>
      <c r="N371" s="35"/>
      <c r="O371" s="39"/>
      <c r="U371" s="41">
        <f t="shared" si="336"/>
        <v>0</v>
      </c>
      <c r="W371" s="41">
        <f t="shared" si="337"/>
        <v>0</v>
      </c>
      <c r="X371" s="41">
        <f t="shared" si="338"/>
        <v>0</v>
      </c>
      <c r="Y371" s="41">
        <f t="shared" si="339"/>
        <v>0</v>
      </c>
      <c r="Z371" s="41">
        <f t="shared" si="340"/>
        <v>0</v>
      </c>
      <c r="AA371" s="41">
        <f t="shared" si="341"/>
        <v>0</v>
      </c>
      <c r="AB371" s="41">
        <f t="shared" si="342"/>
        <v>0</v>
      </c>
      <c r="AC371" s="41">
        <f t="shared" si="343"/>
        <v>0</v>
      </c>
      <c r="AD371" s="31"/>
      <c r="AE371" s="21">
        <f t="shared" si="344"/>
        <v>0</v>
      </c>
      <c r="AF371" s="21">
        <f t="shared" si="345"/>
        <v>0</v>
      </c>
      <c r="AG371" s="21">
        <f t="shared" si="346"/>
        <v>0</v>
      </c>
      <c r="AI371" s="41">
        <v>21</v>
      </c>
      <c r="AJ371" s="41">
        <f t="shared" si="347"/>
        <v>0</v>
      </c>
      <c r="AK371" s="41">
        <f t="shared" si="348"/>
        <v>0</v>
      </c>
      <c r="AL371" s="42" t="s">
        <v>13</v>
      </c>
      <c r="AQ371" s="41">
        <f t="shared" si="349"/>
        <v>0</v>
      </c>
      <c r="AR371" s="41">
        <f t="shared" si="350"/>
        <v>0</v>
      </c>
      <c r="AS371" s="41">
        <f t="shared" si="351"/>
        <v>0</v>
      </c>
      <c r="AT371" s="44" t="s">
        <v>2439</v>
      </c>
      <c r="AU371" s="44" t="s">
        <v>2481</v>
      </c>
      <c r="AV371" s="31" t="s">
        <v>2486</v>
      </c>
      <c r="AX371" s="41">
        <f t="shared" si="352"/>
        <v>0</v>
      </c>
      <c r="AY371" s="41">
        <f t="shared" si="353"/>
        <v>0</v>
      </c>
      <c r="AZ371" s="41">
        <v>0</v>
      </c>
      <c r="BA371" s="41">
        <f t="shared" si="354"/>
        <v>0</v>
      </c>
      <c r="BC371" s="21">
        <f t="shared" si="355"/>
        <v>0</v>
      </c>
      <c r="BD371" s="21">
        <f t="shared" si="356"/>
        <v>0</v>
      </c>
      <c r="BE371" s="21">
        <f t="shared" si="357"/>
        <v>0</v>
      </c>
      <c r="BF371" s="21" t="s">
        <v>2492</v>
      </c>
      <c r="BG371" s="41">
        <v>731</v>
      </c>
    </row>
    <row r="372" spans="1:59" x14ac:dyDescent="0.3">
      <c r="A372" s="4" t="s">
        <v>355</v>
      </c>
      <c r="B372" s="13"/>
      <c r="C372" s="13" t="s">
        <v>1137</v>
      </c>
      <c r="D372" s="101" t="s">
        <v>1874</v>
      </c>
      <c r="E372" s="102"/>
      <c r="F372" s="13" t="s">
        <v>2384</v>
      </c>
      <c r="G372" s="21">
        <v>2</v>
      </c>
      <c r="H372" s="21">
        <v>0</v>
      </c>
      <c r="I372" s="21">
        <f t="shared" si="332"/>
        <v>0</v>
      </c>
      <c r="J372" s="21">
        <f t="shared" si="333"/>
        <v>0</v>
      </c>
      <c r="K372" s="21">
        <f t="shared" si="334"/>
        <v>0</v>
      </c>
      <c r="L372" s="21">
        <v>0</v>
      </c>
      <c r="M372" s="21">
        <f t="shared" si="335"/>
        <v>0</v>
      </c>
      <c r="N372" s="35"/>
      <c r="O372" s="39"/>
      <c r="U372" s="41">
        <f t="shared" si="336"/>
        <v>0</v>
      </c>
      <c r="W372" s="41">
        <f t="shared" si="337"/>
        <v>0</v>
      </c>
      <c r="X372" s="41">
        <f t="shared" si="338"/>
        <v>0</v>
      </c>
      <c r="Y372" s="41">
        <f t="shared" si="339"/>
        <v>0</v>
      </c>
      <c r="Z372" s="41">
        <f t="shared" si="340"/>
        <v>0</v>
      </c>
      <c r="AA372" s="41">
        <f t="shared" si="341"/>
        <v>0</v>
      </c>
      <c r="AB372" s="41">
        <f t="shared" si="342"/>
        <v>0</v>
      </c>
      <c r="AC372" s="41">
        <f t="shared" si="343"/>
        <v>0</v>
      </c>
      <c r="AD372" s="31"/>
      <c r="AE372" s="21">
        <f t="shared" si="344"/>
        <v>0</v>
      </c>
      <c r="AF372" s="21">
        <f t="shared" si="345"/>
        <v>0</v>
      </c>
      <c r="AG372" s="21">
        <f t="shared" si="346"/>
        <v>0</v>
      </c>
      <c r="AI372" s="41">
        <v>21</v>
      </c>
      <c r="AJ372" s="41">
        <f t="shared" si="347"/>
        <v>0</v>
      </c>
      <c r="AK372" s="41">
        <f t="shared" si="348"/>
        <v>0</v>
      </c>
      <c r="AL372" s="42" t="s">
        <v>13</v>
      </c>
      <c r="AQ372" s="41">
        <f t="shared" si="349"/>
        <v>0</v>
      </c>
      <c r="AR372" s="41">
        <f t="shared" si="350"/>
        <v>0</v>
      </c>
      <c r="AS372" s="41">
        <f t="shared" si="351"/>
        <v>0</v>
      </c>
      <c r="AT372" s="44" t="s">
        <v>2439</v>
      </c>
      <c r="AU372" s="44" t="s">
        <v>2481</v>
      </c>
      <c r="AV372" s="31" t="s">
        <v>2486</v>
      </c>
      <c r="AX372" s="41">
        <f t="shared" si="352"/>
        <v>0</v>
      </c>
      <c r="AY372" s="41">
        <f t="shared" si="353"/>
        <v>0</v>
      </c>
      <c r="AZ372" s="41">
        <v>0</v>
      </c>
      <c r="BA372" s="41">
        <f t="shared" si="354"/>
        <v>0</v>
      </c>
      <c r="BC372" s="21">
        <f t="shared" si="355"/>
        <v>0</v>
      </c>
      <c r="BD372" s="21">
        <f t="shared" si="356"/>
        <v>0</v>
      </c>
      <c r="BE372" s="21">
        <f t="shared" si="357"/>
        <v>0</v>
      </c>
      <c r="BF372" s="21" t="s">
        <v>2492</v>
      </c>
      <c r="BG372" s="41">
        <v>731</v>
      </c>
    </row>
    <row r="373" spans="1:59" x14ac:dyDescent="0.3">
      <c r="A373" s="4" t="s">
        <v>356</v>
      </c>
      <c r="B373" s="13"/>
      <c r="C373" s="13" t="s">
        <v>1137</v>
      </c>
      <c r="D373" s="101" t="s">
        <v>1875</v>
      </c>
      <c r="E373" s="102"/>
      <c r="F373" s="13" t="s">
        <v>2386</v>
      </c>
      <c r="G373" s="21">
        <v>2</v>
      </c>
      <c r="H373" s="21">
        <v>0</v>
      </c>
      <c r="I373" s="21">
        <f t="shared" si="332"/>
        <v>0</v>
      </c>
      <c r="J373" s="21">
        <f t="shared" si="333"/>
        <v>0</v>
      </c>
      <c r="K373" s="21">
        <f t="shared" si="334"/>
        <v>0</v>
      </c>
      <c r="L373" s="21">
        <v>0</v>
      </c>
      <c r="M373" s="21">
        <f t="shared" si="335"/>
        <v>0</v>
      </c>
      <c r="N373" s="35"/>
      <c r="O373" s="39"/>
      <c r="U373" s="41">
        <f t="shared" si="336"/>
        <v>0</v>
      </c>
      <c r="W373" s="41">
        <f t="shared" si="337"/>
        <v>0</v>
      </c>
      <c r="X373" s="41">
        <f t="shared" si="338"/>
        <v>0</v>
      </c>
      <c r="Y373" s="41">
        <f t="shared" si="339"/>
        <v>0</v>
      </c>
      <c r="Z373" s="41">
        <f t="shared" si="340"/>
        <v>0</v>
      </c>
      <c r="AA373" s="41">
        <f t="shared" si="341"/>
        <v>0</v>
      </c>
      <c r="AB373" s="41">
        <f t="shared" si="342"/>
        <v>0</v>
      </c>
      <c r="AC373" s="41">
        <f t="shared" si="343"/>
        <v>0</v>
      </c>
      <c r="AD373" s="31"/>
      <c r="AE373" s="21">
        <f t="shared" si="344"/>
        <v>0</v>
      </c>
      <c r="AF373" s="21">
        <f t="shared" si="345"/>
        <v>0</v>
      </c>
      <c r="AG373" s="21">
        <f t="shared" si="346"/>
        <v>0</v>
      </c>
      <c r="AI373" s="41">
        <v>21</v>
      </c>
      <c r="AJ373" s="41">
        <f t="shared" si="347"/>
        <v>0</v>
      </c>
      <c r="AK373" s="41">
        <f t="shared" si="348"/>
        <v>0</v>
      </c>
      <c r="AL373" s="42" t="s">
        <v>13</v>
      </c>
      <c r="AQ373" s="41">
        <f t="shared" si="349"/>
        <v>0</v>
      </c>
      <c r="AR373" s="41">
        <f t="shared" si="350"/>
        <v>0</v>
      </c>
      <c r="AS373" s="41">
        <f t="shared" si="351"/>
        <v>0</v>
      </c>
      <c r="AT373" s="44" t="s">
        <v>2439</v>
      </c>
      <c r="AU373" s="44" t="s">
        <v>2481</v>
      </c>
      <c r="AV373" s="31" t="s">
        <v>2486</v>
      </c>
      <c r="AX373" s="41">
        <f t="shared" si="352"/>
        <v>0</v>
      </c>
      <c r="AY373" s="41">
        <f t="shared" si="353"/>
        <v>0</v>
      </c>
      <c r="AZ373" s="41">
        <v>0</v>
      </c>
      <c r="BA373" s="41">
        <f t="shared" si="354"/>
        <v>0</v>
      </c>
      <c r="BC373" s="21">
        <f t="shared" si="355"/>
        <v>0</v>
      </c>
      <c r="BD373" s="21">
        <f t="shared" si="356"/>
        <v>0</v>
      </c>
      <c r="BE373" s="21">
        <f t="shared" si="357"/>
        <v>0</v>
      </c>
      <c r="BF373" s="21" t="s">
        <v>2492</v>
      </c>
      <c r="BG373" s="41">
        <v>731</v>
      </c>
    </row>
    <row r="374" spans="1:59" x14ac:dyDescent="0.3">
      <c r="A374" s="4" t="s">
        <v>357</v>
      </c>
      <c r="B374" s="13"/>
      <c r="C374" s="13" t="s">
        <v>1137</v>
      </c>
      <c r="D374" s="101" t="s">
        <v>1876</v>
      </c>
      <c r="E374" s="102"/>
      <c r="F374" s="13" t="s">
        <v>2384</v>
      </c>
      <c r="G374" s="21">
        <v>4</v>
      </c>
      <c r="H374" s="21">
        <v>0</v>
      </c>
      <c r="I374" s="21">
        <f t="shared" si="332"/>
        <v>0</v>
      </c>
      <c r="J374" s="21">
        <f t="shared" si="333"/>
        <v>0</v>
      </c>
      <c r="K374" s="21">
        <f t="shared" si="334"/>
        <v>0</v>
      </c>
      <c r="L374" s="21">
        <v>0</v>
      </c>
      <c r="M374" s="21">
        <f t="shared" si="335"/>
        <v>0</v>
      </c>
      <c r="N374" s="35"/>
      <c r="O374" s="39"/>
      <c r="U374" s="41">
        <f t="shared" si="336"/>
        <v>0</v>
      </c>
      <c r="W374" s="41">
        <f t="shared" si="337"/>
        <v>0</v>
      </c>
      <c r="X374" s="41">
        <f t="shared" si="338"/>
        <v>0</v>
      </c>
      <c r="Y374" s="41">
        <f t="shared" si="339"/>
        <v>0</v>
      </c>
      <c r="Z374" s="41">
        <f t="shared" si="340"/>
        <v>0</v>
      </c>
      <c r="AA374" s="41">
        <f t="shared" si="341"/>
        <v>0</v>
      </c>
      <c r="AB374" s="41">
        <f t="shared" si="342"/>
        <v>0</v>
      </c>
      <c r="AC374" s="41">
        <f t="shared" si="343"/>
        <v>0</v>
      </c>
      <c r="AD374" s="31"/>
      <c r="AE374" s="21">
        <f t="shared" si="344"/>
        <v>0</v>
      </c>
      <c r="AF374" s="21">
        <f t="shared" si="345"/>
        <v>0</v>
      </c>
      <c r="AG374" s="21">
        <f t="shared" si="346"/>
        <v>0</v>
      </c>
      <c r="AI374" s="41">
        <v>21</v>
      </c>
      <c r="AJ374" s="41">
        <f t="shared" si="347"/>
        <v>0</v>
      </c>
      <c r="AK374" s="41">
        <f t="shared" si="348"/>
        <v>0</v>
      </c>
      <c r="AL374" s="42" t="s">
        <v>13</v>
      </c>
      <c r="AQ374" s="41">
        <f t="shared" si="349"/>
        <v>0</v>
      </c>
      <c r="AR374" s="41">
        <f t="shared" si="350"/>
        <v>0</v>
      </c>
      <c r="AS374" s="41">
        <f t="shared" si="351"/>
        <v>0</v>
      </c>
      <c r="AT374" s="44" t="s">
        <v>2439</v>
      </c>
      <c r="AU374" s="44" t="s">
        <v>2481</v>
      </c>
      <c r="AV374" s="31" t="s">
        <v>2486</v>
      </c>
      <c r="AX374" s="41">
        <f t="shared" si="352"/>
        <v>0</v>
      </c>
      <c r="AY374" s="41">
        <f t="shared" si="353"/>
        <v>0</v>
      </c>
      <c r="AZ374" s="41">
        <v>0</v>
      </c>
      <c r="BA374" s="41">
        <f t="shared" si="354"/>
        <v>0</v>
      </c>
      <c r="BC374" s="21">
        <f t="shared" si="355"/>
        <v>0</v>
      </c>
      <c r="BD374" s="21">
        <f t="shared" si="356"/>
        <v>0</v>
      </c>
      <c r="BE374" s="21">
        <f t="shared" si="357"/>
        <v>0</v>
      </c>
      <c r="BF374" s="21" t="s">
        <v>2492</v>
      </c>
      <c r="BG374" s="41">
        <v>731</v>
      </c>
    </row>
    <row r="375" spans="1:59" x14ac:dyDescent="0.3">
      <c r="A375" s="4" t="s">
        <v>358</v>
      </c>
      <c r="B375" s="13"/>
      <c r="C375" s="13" t="s">
        <v>1137</v>
      </c>
      <c r="D375" s="101" t="s">
        <v>1877</v>
      </c>
      <c r="E375" s="102"/>
      <c r="F375" s="13" t="s">
        <v>2384</v>
      </c>
      <c r="G375" s="21">
        <v>10</v>
      </c>
      <c r="H375" s="21">
        <v>0</v>
      </c>
      <c r="I375" s="21">
        <f t="shared" si="332"/>
        <v>0</v>
      </c>
      <c r="J375" s="21">
        <f t="shared" si="333"/>
        <v>0</v>
      </c>
      <c r="K375" s="21">
        <f t="shared" si="334"/>
        <v>0</v>
      </c>
      <c r="L375" s="21">
        <v>0</v>
      </c>
      <c r="M375" s="21">
        <f t="shared" si="335"/>
        <v>0</v>
      </c>
      <c r="N375" s="35"/>
      <c r="O375" s="39"/>
      <c r="U375" s="41">
        <f t="shared" si="336"/>
        <v>0</v>
      </c>
      <c r="W375" s="41">
        <f t="shared" si="337"/>
        <v>0</v>
      </c>
      <c r="X375" s="41">
        <f t="shared" si="338"/>
        <v>0</v>
      </c>
      <c r="Y375" s="41">
        <f t="shared" si="339"/>
        <v>0</v>
      </c>
      <c r="Z375" s="41">
        <f t="shared" si="340"/>
        <v>0</v>
      </c>
      <c r="AA375" s="41">
        <f t="shared" si="341"/>
        <v>0</v>
      </c>
      <c r="AB375" s="41">
        <f t="shared" si="342"/>
        <v>0</v>
      </c>
      <c r="AC375" s="41">
        <f t="shared" si="343"/>
        <v>0</v>
      </c>
      <c r="AD375" s="31"/>
      <c r="AE375" s="21">
        <f t="shared" si="344"/>
        <v>0</v>
      </c>
      <c r="AF375" s="21">
        <f t="shared" si="345"/>
        <v>0</v>
      </c>
      <c r="AG375" s="21">
        <f t="shared" si="346"/>
        <v>0</v>
      </c>
      <c r="AI375" s="41">
        <v>21</v>
      </c>
      <c r="AJ375" s="41">
        <f t="shared" si="347"/>
        <v>0</v>
      </c>
      <c r="AK375" s="41">
        <f t="shared" si="348"/>
        <v>0</v>
      </c>
      <c r="AL375" s="42" t="s">
        <v>13</v>
      </c>
      <c r="AQ375" s="41">
        <f t="shared" si="349"/>
        <v>0</v>
      </c>
      <c r="AR375" s="41">
        <f t="shared" si="350"/>
        <v>0</v>
      </c>
      <c r="AS375" s="41">
        <f t="shared" si="351"/>
        <v>0</v>
      </c>
      <c r="AT375" s="44" t="s">
        <v>2439</v>
      </c>
      <c r="AU375" s="44" t="s">
        <v>2481</v>
      </c>
      <c r="AV375" s="31" t="s">
        <v>2486</v>
      </c>
      <c r="AX375" s="41">
        <f t="shared" si="352"/>
        <v>0</v>
      </c>
      <c r="AY375" s="41">
        <f t="shared" si="353"/>
        <v>0</v>
      </c>
      <c r="AZ375" s="41">
        <v>0</v>
      </c>
      <c r="BA375" s="41">
        <f t="shared" si="354"/>
        <v>0</v>
      </c>
      <c r="BC375" s="21">
        <f t="shared" si="355"/>
        <v>0</v>
      </c>
      <c r="BD375" s="21">
        <f t="shared" si="356"/>
        <v>0</v>
      </c>
      <c r="BE375" s="21">
        <f t="shared" si="357"/>
        <v>0</v>
      </c>
      <c r="BF375" s="21" t="s">
        <v>2492</v>
      </c>
      <c r="BG375" s="41">
        <v>731</v>
      </c>
    </row>
    <row r="376" spans="1:59" x14ac:dyDescent="0.3">
      <c r="A376" s="4" t="s">
        <v>359</v>
      </c>
      <c r="B376" s="13"/>
      <c r="C376" s="13" t="s">
        <v>1137</v>
      </c>
      <c r="D376" s="101" t="s">
        <v>1878</v>
      </c>
      <c r="E376" s="102"/>
      <c r="F376" s="13" t="s">
        <v>2385</v>
      </c>
      <c r="G376" s="21">
        <v>67</v>
      </c>
      <c r="H376" s="21">
        <v>0</v>
      </c>
      <c r="I376" s="21">
        <f t="shared" si="332"/>
        <v>0</v>
      </c>
      <c r="J376" s="21">
        <f t="shared" si="333"/>
        <v>0</v>
      </c>
      <c r="K376" s="21">
        <f t="shared" si="334"/>
        <v>0</v>
      </c>
      <c r="L376" s="21">
        <v>0</v>
      </c>
      <c r="M376" s="21">
        <f t="shared" si="335"/>
        <v>0</v>
      </c>
      <c r="N376" s="35"/>
      <c r="O376" s="39"/>
      <c r="U376" s="41">
        <f t="shared" si="336"/>
        <v>0</v>
      </c>
      <c r="W376" s="41">
        <f t="shared" si="337"/>
        <v>0</v>
      </c>
      <c r="X376" s="41">
        <f t="shared" si="338"/>
        <v>0</v>
      </c>
      <c r="Y376" s="41">
        <f t="shared" si="339"/>
        <v>0</v>
      </c>
      <c r="Z376" s="41">
        <f t="shared" si="340"/>
        <v>0</v>
      </c>
      <c r="AA376" s="41">
        <f t="shared" si="341"/>
        <v>0</v>
      </c>
      <c r="AB376" s="41">
        <f t="shared" si="342"/>
        <v>0</v>
      </c>
      <c r="AC376" s="41">
        <f t="shared" si="343"/>
        <v>0</v>
      </c>
      <c r="AD376" s="31"/>
      <c r="AE376" s="21">
        <f t="shared" si="344"/>
        <v>0</v>
      </c>
      <c r="AF376" s="21">
        <f t="shared" si="345"/>
        <v>0</v>
      </c>
      <c r="AG376" s="21">
        <f t="shared" si="346"/>
        <v>0</v>
      </c>
      <c r="AI376" s="41">
        <v>21</v>
      </c>
      <c r="AJ376" s="41">
        <f t="shared" si="347"/>
        <v>0</v>
      </c>
      <c r="AK376" s="41">
        <f t="shared" si="348"/>
        <v>0</v>
      </c>
      <c r="AL376" s="42" t="s">
        <v>13</v>
      </c>
      <c r="AQ376" s="41">
        <f t="shared" si="349"/>
        <v>0</v>
      </c>
      <c r="AR376" s="41">
        <f t="shared" si="350"/>
        <v>0</v>
      </c>
      <c r="AS376" s="41">
        <f t="shared" si="351"/>
        <v>0</v>
      </c>
      <c r="AT376" s="44" t="s">
        <v>2439</v>
      </c>
      <c r="AU376" s="44" t="s">
        <v>2481</v>
      </c>
      <c r="AV376" s="31" t="s">
        <v>2486</v>
      </c>
      <c r="AX376" s="41">
        <f t="shared" si="352"/>
        <v>0</v>
      </c>
      <c r="AY376" s="41">
        <f t="shared" si="353"/>
        <v>0</v>
      </c>
      <c r="AZ376" s="41">
        <v>0</v>
      </c>
      <c r="BA376" s="41">
        <f t="shared" si="354"/>
        <v>0</v>
      </c>
      <c r="BC376" s="21">
        <f t="shared" si="355"/>
        <v>0</v>
      </c>
      <c r="BD376" s="21">
        <f t="shared" si="356"/>
        <v>0</v>
      </c>
      <c r="BE376" s="21">
        <f t="shared" si="357"/>
        <v>0</v>
      </c>
      <c r="BF376" s="21" t="s">
        <v>2492</v>
      </c>
      <c r="BG376" s="41">
        <v>731</v>
      </c>
    </row>
    <row r="377" spans="1:59" x14ac:dyDescent="0.3">
      <c r="A377" s="4" t="s">
        <v>360</v>
      </c>
      <c r="B377" s="13"/>
      <c r="C377" s="13" t="s">
        <v>1137</v>
      </c>
      <c r="D377" s="101" t="s">
        <v>1879</v>
      </c>
      <c r="E377" s="102"/>
      <c r="F377" s="13" t="s">
        <v>2384</v>
      </c>
      <c r="G377" s="21">
        <v>10</v>
      </c>
      <c r="H377" s="21">
        <v>0</v>
      </c>
      <c r="I377" s="21">
        <f t="shared" si="332"/>
        <v>0</v>
      </c>
      <c r="J377" s="21">
        <f t="shared" si="333"/>
        <v>0</v>
      </c>
      <c r="K377" s="21">
        <f t="shared" si="334"/>
        <v>0</v>
      </c>
      <c r="L377" s="21">
        <v>0</v>
      </c>
      <c r="M377" s="21">
        <f t="shared" si="335"/>
        <v>0</v>
      </c>
      <c r="N377" s="35"/>
      <c r="O377" s="39"/>
      <c r="U377" s="41">
        <f t="shared" si="336"/>
        <v>0</v>
      </c>
      <c r="W377" s="41">
        <f t="shared" si="337"/>
        <v>0</v>
      </c>
      <c r="X377" s="41">
        <f t="shared" si="338"/>
        <v>0</v>
      </c>
      <c r="Y377" s="41">
        <f t="shared" si="339"/>
        <v>0</v>
      </c>
      <c r="Z377" s="41">
        <f t="shared" si="340"/>
        <v>0</v>
      </c>
      <c r="AA377" s="41">
        <f t="shared" si="341"/>
        <v>0</v>
      </c>
      <c r="AB377" s="41">
        <f t="shared" si="342"/>
        <v>0</v>
      </c>
      <c r="AC377" s="41">
        <f t="shared" si="343"/>
        <v>0</v>
      </c>
      <c r="AD377" s="31"/>
      <c r="AE377" s="21">
        <f t="shared" si="344"/>
        <v>0</v>
      </c>
      <c r="AF377" s="21">
        <f t="shared" si="345"/>
        <v>0</v>
      </c>
      <c r="AG377" s="21">
        <f t="shared" si="346"/>
        <v>0</v>
      </c>
      <c r="AI377" s="41">
        <v>21</v>
      </c>
      <c r="AJ377" s="41">
        <f t="shared" si="347"/>
        <v>0</v>
      </c>
      <c r="AK377" s="41">
        <f t="shared" si="348"/>
        <v>0</v>
      </c>
      <c r="AL377" s="42" t="s">
        <v>13</v>
      </c>
      <c r="AQ377" s="41">
        <f t="shared" si="349"/>
        <v>0</v>
      </c>
      <c r="AR377" s="41">
        <f t="shared" si="350"/>
        <v>0</v>
      </c>
      <c r="AS377" s="41">
        <f t="shared" si="351"/>
        <v>0</v>
      </c>
      <c r="AT377" s="44" t="s">
        <v>2439</v>
      </c>
      <c r="AU377" s="44" t="s">
        <v>2481</v>
      </c>
      <c r="AV377" s="31" t="s">
        <v>2486</v>
      </c>
      <c r="AX377" s="41">
        <f t="shared" si="352"/>
        <v>0</v>
      </c>
      <c r="AY377" s="41">
        <f t="shared" si="353"/>
        <v>0</v>
      </c>
      <c r="AZ377" s="41">
        <v>0</v>
      </c>
      <c r="BA377" s="41">
        <f t="shared" si="354"/>
        <v>0</v>
      </c>
      <c r="BC377" s="21">
        <f t="shared" si="355"/>
        <v>0</v>
      </c>
      <c r="BD377" s="21">
        <f t="shared" si="356"/>
        <v>0</v>
      </c>
      <c r="BE377" s="21">
        <f t="shared" si="357"/>
        <v>0</v>
      </c>
      <c r="BF377" s="21" t="s">
        <v>2492</v>
      </c>
      <c r="BG377" s="41">
        <v>731</v>
      </c>
    </row>
    <row r="378" spans="1:59" x14ac:dyDescent="0.3">
      <c r="A378" s="4" t="s">
        <v>361</v>
      </c>
      <c r="B378" s="13"/>
      <c r="C378" s="13" t="s">
        <v>1137</v>
      </c>
      <c r="D378" s="101" t="s">
        <v>1880</v>
      </c>
      <c r="E378" s="102"/>
      <c r="F378" s="13" t="s">
        <v>2384</v>
      </c>
      <c r="G378" s="21">
        <v>12</v>
      </c>
      <c r="H378" s="21">
        <v>0</v>
      </c>
      <c r="I378" s="21">
        <f t="shared" si="332"/>
        <v>0</v>
      </c>
      <c r="J378" s="21">
        <f t="shared" si="333"/>
        <v>0</v>
      </c>
      <c r="K378" s="21">
        <f t="shared" si="334"/>
        <v>0</v>
      </c>
      <c r="L378" s="21">
        <v>0</v>
      </c>
      <c r="M378" s="21">
        <f t="shared" si="335"/>
        <v>0</v>
      </c>
      <c r="N378" s="35"/>
      <c r="O378" s="39"/>
      <c r="U378" s="41">
        <f t="shared" si="336"/>
        <v>0</v>
      </c>
      <c r="W378" s="41">
        <f t="shared" si="337"/>
        <v>0</v>
      </c>
      <c r="X378" s="41">
        <f t="shared" si="338"/>
        <v>0</v>
      </c>
      <c r="Y378" s="41">
        <f t="shared" si="339"/>
        <v>0</v>
      </c>
      <c r="Z378" s="41">
        <f t="shared" si="340"/>
        <v>0</v>
      </c>
      <c r="AA378" s="41">
        <f t="shared" si="341"/>
        <v>0</v>
      </c>
      <c r="AB378" s="41">
        <f t="shared" si="342"/>
        <v>0</v>
      </c>
      <c r="AC378" s="41">
        <f t="shared" si="343"/>
        <v>0</v>
      </c>
      <c r="AD378" s="31"/>
      <c r="AE378" s="21">
        <f t="shared" si="344"/>
        <v>0</v>
      </c>
      <c r="AF378" s="21">
        <f t="shared" si="345"/>
        <v>0</v>
      </c>
      <c r="AG378" s="21">
        <f t="shared" si="346"/>
        <v>0</v>
      </c>
      <c r="AI378" s="41">
        <v>21</v>
      </c>
      <c r="AJ378" s="41">
        <f t="shared" si="347"/>
        <v>0</v>
      </c>
      <c r="AK378" s="41">
        <f t="shared" si="348"/>
        <v>0</v>
      </c>
      <c r="AL378" s="42" t="s">
        <v>13</v>
      </c>
      <c r="AQ378" s="41">
        <f t="shared" si="349"/>
        <v>0</v>
      </c>
      <c r="AR378" s="41">
        <f t="shared" si="350"/>
        <v>0</v>
      </c>
      <c r="AS378" s="41">
        <f t="shared" si="351"/>
        <v>0</v>
      </c>
      <c r="AT378" s="44" t="s">
        <v>2439</v>
      </c>
      <c r="AU378" s="44" t="s">
        <v>2481</v>
      </c>
      <c r="AV378" s="31" t="s">
        <v>2486</v>
      </c>
      <c r="AX378" s="41">
        <f t="shared" si="352"/>
        <v>0</v>
      </c>
      <c r="AY378" s="41">
        <f t="shared" si="353"/>
        <v>0</v>
      </c>
      <c r="AZ378" s="41">
        <v>0</v>
      </c>
      <c r="BA378" s="41">
        <f t="shared" si="354"/>
        <v>0</v>
      </c>
      <c r="BC378" s="21">
        <f t="shared" si="355"/>
        <v>0</v>
      </c>
      <c r="BD378" s="21">
        <f t="shared" si="356"/>
        <v>0</v>
      </c>
      <c r="BE378" s="21">
        <f t="shared" si="357"/>
        <v>0</v>
      </c>
      <c r="BF378" s="21" t="s">
        <v>2492</v>
      </c>
      <c r="BG378" s="41">
        <v>731</v>
      </c>
    </row>
    <row r="379" spans="1:59" x14ac:dyDescent="0.3">
      <c r="A379" s="4" t="s">
        <v>362</v>
      </c>
      <c r="B379" s="13"/>
      <c r="C379" s="13" t="s">
        <v>1137</v>
      </c>
      <c r="D379" s="101" t="s">
        <v>1878</v>
      </c>
      <c r="E379" s="102"/>
      <c r="F379" s="13" t="s">
        <v>2385</v>
      </c>
      <c r="G379" s="21">
        <v>29</v>
      </c>
      <c r="H379" s="21">
        <v>0</v>
      </c>
      <c r="I379" s="21">
        <f t="shared" si="332"/>
        <v>0</v>
      </c>
      <c r="J379" s="21">
        <f t="shared" si="333"/>
        <v>0</v>
      </c>
      <c r="K379" s="21">
        <f t="shared" si="334"/>
        <v>0</v>
      </c>
      <c r="L379" s="21">
        <v>0</v>
      </c>
      <c r="M379" s="21">
        <f t="shared" si="335"/>
        <v>0</v>
      </c>
      <c r="N379" s="35"/>
      <c r="O379" s="39"/>
      <c r="U379" s="41">
        <f t="shared" si="336"/>
        <v>0</v>
      </c>
      <c r="W379" s="41">
        <f t="shared" si="337"/>
        <v>0</v>
      </c>
      <c r="X379" s="41">
        <f t="shared" si="338"/>
        <v>0</v>
      </c>
      <c r="Y379" s="41">
        <f t="shared" si="339"/>
        <v>0</v>
      </c>
      <c r="Z379" s="41">
        <f t="shared" si="340"/>
        <v>0</v>
      </c>
      <c r="AA379" s="41">
        <f t="shared" si="341"/>
        <v>0</v>
      </c>
      <c r="AB379" s="41">
        <f t="shared" si="342"/>
        <v>0</v>
      </c>
      <c r="AC379" s="41">
        <f t="shared" si="343"/>
        <v>0</v>
      </c>
      <c r="AD379" s="31"/>
      <c r="AE379" s="21">
        <f t="shared" si="344"/>
        <v>0</v>
      </c>
      <c r="AF379" s="21">
        <f t="shared" si="345"/>
        <v>0</v>
      </c>
      <c r="AG379" s="21">
        <f t="shared" si="346"/>
        <v>0</v>
      </c>
      <c r="AI379" s="41">
        <v>21</v>
      </c>
      <c r="AJ379" s="41">
        <f t="shared" si="347"/>
        <v>0</v>
      </c>
      <c r="AK379" s="41">
        <f t="shared" si="348"/>
        <v>0</v>
      </c>
      <c r="AL379" s="42" t="s">
        <v>13</v>
      </c>
      <c r="AQ379" s="41">
        <f t="shared" si="349"/>
        <v>0</v>
      </c>
      <c r="AR379" s="41">
        <f t="shared" si="350"/>
        <v>0</v>
      </c>
      <c r="AS379" s="41">
        <f t="shared" si="351"/>
        <v>0</v>
      </c>
      <c r="AT379" s="44" t="s">
        <v>2439</v>
      </c>
      <c r="AU379" s="44" t="s">
        <v>2481</v>
      </c>
      <c r="AV379" s="31" t="s">
        <v>2486</v>
      </c>
      <c r="AX379" s="41">
        <f t="shared" si="352"/>
        <v>0</v>
      </c>
      <c r="AY379" s="41">
        <f t="shared" si="353"/>
        <v>0</v>
      </c>
      <c r="AZ379" s="41">
        <v>0</v>
      </c>
      <c r="BA379" s="41">
        <f t="shared" si="354"/>
        <v>0</v>
      </c>
      <c r="BC379" s="21">
        <f t="shared" si="355"/>
        <v>0</v>
      </c>
      <c r="BD379" s="21">
        <f t="shared" si="356"/>
        <v>0</v>
      </c>
      <c r="BE379" s="21">
        <f t="shared" si="357"/>
        <v>0</v>
      </c>
      <c r="BF379" s="21" t="s">
        <v>2492</v>
      </c>
      <c r="BG379" s="41">
        <v>731</v>
      </c>
    </row>
    <row r="380" spans="1:59" x14ac:dyDescent="0.3">
      <c r="A380" s="4" t="s">
        <v>363</v>
      </c>
      <c r="B380" s="13"/>
      <c r="C380" s="13" t="s">
        <v>1137</v>
      </c>
      <c r="D380" s="101" t="s">
        <v>1878</v>
      </c>
      <c r="E380" s="102"/>
      <c r="F380" s="13" t="s">
        <v>2385</v>
      </c>
      <c r="G380" s="21">
        <v>3</v>
      </c>
      <c r="H380" s="21">
        <v>0</v>
      </c>
      <c r="I380" s="21">
        <f t="shared" si="332"/>
        <v>0</v>
      </c>
      <c r="J380" s="21">
        <f t="shared" si="333"/>
        <v>0</v>
      </c>
      <c r="K380" s="21">
        <f t="shared" si="334"/>
        <v>0</v>
      </c>
      <c r="L380" s="21">
        <v>0</v>
      </c>
      <c r="M380" s="21">
        <f t="shared" si="335"/>
        <v>0</v>
      </c>
      <c r="N380" s="35"/>
      <c r="O380" s="39"/>
      <c r="U380" s="41">
        <f t="shared" si="336"/>
        <v>0</v>
      </c>
      <c r="W380" s="41">
        <f t="shared" si="337"/>
        <v>0</v>
      </c>
      <c r="X380" s="41">
        <f t="shared" si="338"/>
        <v>0</v>
      </c>
      <c r="Y380" s="41">
        <f t="shared" si="339"/>
        <v>0</v>
      </c>
      <c r="Z380" s="41">
        <f t="shared" si="340"/>
        <v>0</v>
      </c>
      <c r="AA380" s="41">
        <f t="shared" si="341"/>
        <v>0</v>
      </c>
      <c r="AB380" s="41">
        <f t="shared" si="342"/>
        <v>0</v>
      </c>
      <c r="AC380" s="41">
        <f t="shared" si="343"/>
        <v>0</v>
      </c>
      <c r="AD380" s="31"/>
      <c r="AE380" s="21">
        <f t="shared" si="344"/>
        <v>0</v>
      </c>
      <c r="AF380" s="21">
        <f t="shared" si="345"/>
        <v>0</v>
      </c>
      <c r="AG380" s="21">
        <f t="shared" si="346"/>
        <v>0</v>
      </c>
      <c r="AI380" s="41">
        <v>21</v>
      </c>
      <c r="AJ380" s="41">
        <f t="shared" si="347"/>
        <v>0</v>
      </c>
      <c r="AK380" s="41">
        <f t="shared" si="348"/>
        <v>0</v>
      </c>
      <c r="AL380" s="42" t="s">
        <v>13</v>
      </c>
      <c r="AQ380" s="41">
        <f t="shared" si="349"/>
        <v>0</v>
      </c>
      <c r="AR380" s="41">
        <f t="shared" si="350"/>
        <v>0</v>
      </c>
      <c r="AS380" s="41">
        <f t="shared" si="351"/>
        <v>0</v>
      </c>
      <c r="AT380" s="44" t="s">
        <v>2439</v>
      </c>
      <c r="AU380" s="44" t="s">
        <v>2481</v>
      </c>
      <c r="AV380" s="31" t="s">
        <v>2486</v>
      </c>
      <c r="AX380" s="41">
        <f t="shared" si="352"/>
        <v>0</v>
      </c>
      <c r="AY380" s="41">
        <f t="shared" si="353"/>
        <v>0</v>
      </c>
      <c r="AZ380" s="41">
        <v>0</v>
      </c>
      <c r="BA380" s="41">
        <f t="shared" si="354"/>
        <v>0</v>
      </c>
      <c r="BC380" s="21">
        <f t="shared" si="355"/>
        <v>0</v>
      </c>
      <c r="BD380" s="21">
        <f t="shared" si="356"/>
        <v>0</v>
      </c>
      <c r="BE380" s="21">
        <f t="shared" si="357"/>
        <v>0</v>
      </c>
      <c r="BF380" s="21" t="s">
        <v>2492</v>
      </c>
      <c r="BG380" s="41">
        <v>731</v>
      </c>
    </row>
    <row r="381" spans="1:59" x14ac:dyDescent="0.3">
      <c r="A381" s="4" t="s">
        <v>364</v>
      </c>
      <c r="B381" s="13"/>
      <c r="C381" s="13" t="s">
        <v>1137</v>
      </c>
      <c r="D381" s="101" t="s">
        <v>1878</v>
      </c>
      <c r="E381" s="102"/>
      <c r="F381" s="13" t="s">
        <v>2385</v>
      </c>
      <c r="G381" s="21">
        <v>31</v>
      </c>
      <c r="H381" s="21">
        <v>0</v>
      </c>
      <c r="I381" s="21">
        <f t="shared" si="332"/>
        <v>0</v>
      </c>
      <c r="J381" s="21">
        <f t="shared" si="333"/>
        <v>0</v>
      </c>
      <c r="K381" s="21">
        <f t="shared" si="334"/>
        <v>0</v>
      </c>
      <c r="L381" s="21">
        <v>0</v>
      </c>
      <c r="M381" s="21">
        <f t="shared" si="335"/>
        <v>0</v>
      </c>
      <c r="N381" s="35"/>
      <c r="O381" s="39"/>
      <c r="U381" s="41">
        <f t="shared" si="336"/>
        <v>0</v>
      </c>
      <c r="W381" s="41">
        <f t="shared" si="337"/>
        <v>0</v>
      </c>
      <c r="X381" s="41">
        <f t="shared" si="338"/>
        <v>0</v>
      </c>
      <c r="Y381" s="41">
        <f t="shared" si="339"/>
        <v>0</v>
      </c>
      <c r="Z381" s="41">
        <f t="shared" si="340"/>
        <v>0</v>
      </c>
      <c r="AA381" s="41">
        <f t="shared" si="341"/>
        <v>0</v>
      </c>
      <c r="AB381" s="41">
        <f t="shared" si="342"/>
        <v>0</v>
      </c>
      <c r="AC381" s="41">
        <f t="shared" si="343"/>
        <v>0</v>
      </c>
      <c r="AD381" s="31"/>
      <c r="AE381" s="21">
        <f t="shared" si="344"/>
        <v>0</v>
      </c>
      <c r="AF381" s="21">
        <f t="shared" si="345"/>
        <v>0</v>
      </c>
      <c r="AG381" s="21">
        <f t="shared" si="346"/>
        <v>0</v>
      </c>
      <c r="AI381" s="41">
        <v>21</v>
      </c>
      <c r="AJ381" s="41">
        <f t="shared" si="347"/>
        <v>0</v>
      </c>
      <c r="AK381" s="41">
        <f t="shared" si="348"/>
        <v>0</v>
      </c>
      <c r="AL381" s="42" t="s">
        <v>13</v>
      </c>
      <c r="AQ381" s="41">
        <f t="shared" si="349"/>
        <v>0</v>
      </c>
      <c r="AR381" s="41">
        <f t="shared" si="350"/>
        <v>0</v>
      </c>
      <c r="AS381" s="41">
        <f t="shared" si="351"/>
        <v>0</v>
      </c>
      <c r="AT381" s="44" t="s">
        <v>2439</v>
      </c>
      <c r="AU381" s="44" t="s">
        <v>2481</v>
      </c>
      <c r="AV381" s="31" t="s">
        <v>2486</v>
      </c>
      <c r="AX381" s="41">
        <f t="shared" si="352"/>
        <v>0</v>
      </c>
      <c r="AY381" s="41">
        <f t="shared" si="353"/>
        <v>0</v>
      </c>
      <c r="AZ381" s="41">
        <v>0</v>
      </c>
      <c r="BA381" s="41">
        <f t="shared" si="354"/>
        <v>0</v>
      </c>
      <c r="BC381" s="21">
        <f t="shared" si="355"/>
        <v>0</v>
      </c>
      <c r="BD381" s="21">
        <f t="shared" si="356"/>
        <v>0</v>
      </c>
      <c r="BE381" s="21">
        <f t="shared" si="357"/>
        <v>0</v>
      </c>
      <c r="BF381" s="21" t="s">
        <v>2492</v>
      </c>
      <c r="BG381" s="41">
        <v>731</v>
      </c>
    </row>
    <row r="382" spans="1:59" x14ac:dyDescent="0.3">
      <c r="A382" s="4" t="s">
        <v>365</v>
      </c>
      <c r="B382" s="13"/>
      <c r="C382" s="13" t="s">
        <v>1137</v>
      </c>
      <c r="D382" s="101" t="s">
        <v>1881</v>
      </c>
      <c r="E382" s="102"/>
      <c r="F382" s="13" t="s">
        <v>2385</v>
      </c>
      <c r="G382" s="21">
        <v>67</v>
      </c>
      <c r="H382" s="21">
        <v>0</v>
      </c>
      <c r="I382" s="21">
        <f t="shared" si="332"/>
        <v>0</v>
      </c>
      <c r="J382" s="21">
        <f t="shared" si="333"/>
        <v>0</v>
      </c>
      <c r="K382" s="21">
        <f t="shared" si="334"/>
        <v>0</v>
      </c>
      <c r="L382" s="21">
        <v>0</v>
      </c>
      <c r="M382" s="21">
        <f t="shared" si="335"/>
        <v>0</v>
      </c>
      <c r="N382" s="35"/>
      <c r="O382" s="39"/>
      <c r="U382" s="41">
        <f t="shared" si="336"/>
        <v>0</v>
      </c>
      <c r="W382" s="41">
        <f t="shared" si="337"/>
        <v>0</v>
      </c>
      <c r="X382" s="41">
        <f t="shared" si="338"/>
        <v>0</v>
      </c>
      <c r="Y382" s="41">
        <f t="shared" si="339"/>
        <v>0</v>
      </c>
      <c r="Z382" s="41">
        <f t="shared" si="340"/>
        <v>0</v>
      </c>
      <c r="AA382" s="41">
        <f t="shared" si="341"/>
        <v>0</v>
      </c>
      <c r="AB382" s="41">
        <f t="shared" si="342"/>
        <v>0</v>
      </c>
      <c r="AC382" s="41">
        <f t="shared" si="343"/>
        <v>0</v>
      </c>
      <c r="AD382" s="31"/>
      <c r="AE382" s="21">
        <f t="shared" si="344"/>
        <v>0</v>
      </c>
      <c r="AF382" s="21">
        <f t="shared" si="345"/>
        <v>0</v>
      </c>
      <c r="AG382" s="21">
        <f t="shared" si="346"/>
        <v>0</v>
      </c>
      <c r="AI382" s="41">
        <v>21</v>
      </c>
      <c r="AJ382" s="41">
        <f t="shared" si="347"/>
        <v>0</v>
      </c>
      <c r="AK382" s="41">
        <f t="shared" si="348"/>
        <v>0</v>
      </c>
      <c r="AL382" s="42" t="s">
        <v>13</v>
      </c>
      <c r="AQ382" s="41">
        <f t="shared" si="349"/>
        <v>0</v>
      </c>
      <c r="AR382" s="41">
        <f t="shared" si="350"/>
        <v>0</v>
      </c>
      <c r="AS382" s="41">
        <f t="shared" si="351"/>
        <v>0</v>
      </c>
      <c r="AT382" s="44" t="s">
        <v>2439</v>
      </c>
      <c r="AU382" s="44" t="s">
        <v>2481</v>
      </c>
      <c r="AV382" s="31" t="s">
        <v>2486</v>
      </c>
      <c r="AX382" s="41">
        <f t="shared" si="352"/>
        <v>0</v>
      </c>
      <c r="AY382" s="41">
        <f t="shared" si="353"/>
        <v>0</v>
      </c>
      <c r="AZ382" s="41">
        <v>0</v>
      </c>
      <c r="BA382" s="41">
        <f t="shared" si="354"/>
        <v>0</v>
      </c>
      <c r="BC382" s="21">
        <f t="shared" si="355"/>
        <v>0</v>
      </c>
      <c r="BD382" s="21">
        <f t="shared" si="356"/>
        <v>0</v>
      </c>
      <c r="BE382" s="21">
        <f t="shared" si="357"/>
        <v>0</v>
      </c>
      <c r="BF382" s="21" t="s">
        <v>2492</v>
      </c>
      <c r="BG382" s="41">
        <v>731</v>
      </c>
    </row>
    <row r="383" spans="1:59" x14ac:dyDescent="0.3">
      <c r="A383" s="4" t="s">
        <v>366</v>
      </c>
      <c r="B383" s="13"/>
      <c r="C383" s="13" t="s">
        <v>1137</v>
      </c>
      <c r="D383" s="101" t="s">
        <v>1881</v>
      </c>
      <c r="E383" s="102"/>
      <c r="F383" s="13" t="s">
        <v>2385</v>
      </c>
      <c r="G383" s="21">
        <v>29</v>
      </c>
      <c r="H383" s="21">
        <v>0</v>
      </c>
      <c r="I383" s="21">
        <f t="shared" si="332"/>
        <v>0</v>
      </c>
      <c r="J383" s="21">
        <f t="shared" si="333"/>
        <v>0</v>
      </c>
      <c r="K383" s="21">
        <f t="shared" si="334"/>
        <v>0</v>
      </c>
      <c r="L383" s="21">
        <v>0</v>
      </c>
      <c r="M383" s="21">
        <f t="shared" si="335"/>
        <v>0</v>
      </c>
      <c r="N383" s="35"/>
      <c r="O383" s="39"/>
      <c r="U383" s="41">
        <f t="shared" si="336"/>
        <v>0</v>
      </c>
      <c r="W383" s="41">
        <f t="shared" si="337"/>
        <v>0</v>
      </c>
      <c r="X383" s="41">
        <f t="shared" si="338"/>
        <v>0</v>
      </c>
      <c r="Y383" s="41">
        <f t="shared" si="339"/>
        <v>0</v>
      </c>
      <c r="Z383" s="41">
        <f t="shared" si="340"/>
        <v>0</v>
      </c>
      <c r="AA383" s="41">
        <f t="shared" si="341"/>
        <v>0</v>
      </c>
      <c r="AB383" s="41">
        <f t="shared" si="342"/>
        <v>0</v>
      </c>
      <c r="AC383" s="41">
        <f t="shared" si="343"/>
        <v>0</v>
      </c>
      <c r="AD383" s="31"/>
      <c r="AE383" s="21">
        <f t="shared" si="344"/>
        <v>0</v>
      </c>
      <c r="AF383" s="21">
        <f t="shared" si="345"/>
        <v>0</v>
      </c>
      <c r="AG383" s="21">
        <f t="shared" si="346"/>
        <v>0</v>
      </c>
      <c r="AI383" s="41">
        <v>21</v>
      </c>
      <c r="AJ383" s="41">
        <f t="shared" si="347"/>
        <v>0</v>
      </c>
      <c r="AK383" s="41">
        <f t="shared" si="348"/>
        <v>0</v>
      </c>
      <c r="AL383" s="42" t="s">
        <v>13</v>
      </c>
      <c r="AQ383" s="41">
        <f t="shared" si="349"/>
        <v>0</v>
      </c>
      <c r="AR383" s="41">
        <f t="shared" si="350"/>
        <v>0</v>
      </c>
      <c r="AS383" s="41">
        <f t="shared" si="351"/>
        <v>0</v>
      </c>
      <c r="AT383" s="44" t="s">
        <v>2439</v>
      </c>
      <c r="AU383" s="44" t="s">
        <v>2481</v>
      </c>
      <c r="AV383" s="31" t="s">
        <v>2486</v>
      </c>
      <c r="AX383" s="41">
        <f t="shared" si="352"/>
        <v>0</v>
      </c>
      <c r="AY383" s="41">
        <f t="shared" si="353"/>
        <v>0</v>
      </c>
      <c r="AZ383" s="41">
        <v>0</v>
      </c>
      <c r="BA383" s="41">
        <f t="shared" si="354"/>
        <v>0</v>
      </c>
      <c r="BC383" s="21">
        <f t="shared" si="355"/>
        <v>0</v>
      </c>
      <c r="BD383" s="21">
        <f t="shared" si="356"/>
        <v>0</v>
      </c>
      <c r="BE383" s="21">
        <f t="shared" si="357"/>
        <v>0</v>
      </c>
      <c r="BF383" s="21" t="s">
        <v>2492</v>
      </c>
      <c r="BG383" s="41">
        <v>731</v>
      </c>
    </row>
    <row r="384" spans="1:59" x14ac:dyDescent="0.3">
      <c r="A384" s="4" t="s">
        <v>367</v>
      </c>
      <c r="B384" s="13"/>
      <c r="C384" s="13" t="s">
        <v>1137</v>
      </c>
      <c r="D384" s="101" t="s">
        <v>1881</v>
      </c>
      <c r="E384" s="102"/>
      <c r="F384" s="13" t="s">
        <v>2385</v>
      </c>
      <c r="G384" s="21">
        <v>3</v>
      </c>
      <c r="H384" s="21">
        <v>0</v>
      </c>
      <c r="I384" s="21">
        <f t="shared" si="332"/>
        <v>0</v>
      </c>
      <c r="J384" s="21">
        <f t="shared" si="333"/>
        <v>0</v>
      </c>
      <c r="K384" s="21">
        <f t="shared" si="334"/>
        <v>0</v>
      </c>
      <c r="L384" s="21">
        <v>0</v>
      </c>
      <c r="M384" s="21">
        <f t="shared" si="335"/>
        <v>0</v>
      </c>
      <c r="N384" s="35"/>
      <c r="O384" s="39"/>
      <c r="U384" s="41">
        <f t="shared" si="336"/>
        <v>0</v>
      </c>
      <c r="W384" s="41">
        <f t="shared" si="337"/>
        <v>0</v>
      </c>
      <c r="X384" s="41">
        <f t="shared" si="338"/>
        <v>0</v>
      </c>
      <c r="Y384" s="41">
        <f t="shared" si="339"/>
        <v>0</v>
      </c>
      <c r="Z384" s="41">
        <f t="shared" si="340"/>
        <v>0</v>
      </c>
      <c r="AA384" s="41">
        <f t="shared" si="341"/>
        <v>0</v>
      </c>
      <c r="AB384" s="41">
        <f t="shared" si="342"/>
        <v>0</v>
      </c>
      <c r="AC384" s="41">
        <f t="shared" si="343"/>
        <v>0</v>
      </c>
      <c r="AD384" s="31"/>
      <c r="AE384" s="21">
        <f t="shared" si="344"/>
        <v>0</v>
      </c>
      <c r="AF384" s="21">
        <f t="shared" si="345"/>
        <v>0</v>
      </c>
      <c r="AG384" s="21">
        <f t="shared" si="346"/>
        <v>0</v>
      </c>
      <c r="AI384" s="41">
        <v>21</v>
      </c>
      <c r="AJ384" s="41">
        <f t="shared" si="347"/>
        <v>0</v>
      </c>
      <c r="AK384" s="41">
        <f t="shared" si="348"/>
        <v>0</v>
      </c>
      <c r="AL384" s="42" t="s">
        <v>13</v>
      </c>
      <c r="AQ384" s="41">
        <f t="shared" si="349"/>
        <v>0</v>
      </c>
      <c r="AR384" s="41">
        <f t="shared" si="350"/>
        <v>0</v>
      </c>
      <c r="AS384" s="41">
        <f t="shared" si="351"/>
        <v>0</v>
      </c>
      <c r="AT384" s="44" t="s">
        <v>2439</v>
      </c>
      <c r="AU384" s="44" t="s">
        <v>2481</v>
      </c>
      <c r="AV384" s="31" t="s">
        <v>2486</v>
      </c>
      <c r="AX384" s="41">
        <f t="shared" si="352"/>
        <v>0</v>
      </c>
      <c r="AY384" s="41">
        <f t="shared" si="353"/>
        <v>0</v>
      </c>
      <c r="AZ384" s="41">
        <v>0</v>
      </c>
      <c r="BA384" s="41">
        <f t="shared" si="354"/>
        <v>0</v>
      </c>
      <c r="BC384" s="21">
        <f t="shared" si="355"/>
        <v>0</v>
      </c>
      <c r="BD384" s="21">
        <f t="shared" si="356"/>
        <v>0</v>
      </c>
      <c r="BE384" s="21">
        <f t="shared" si="357"/>
        <v>0</v>
      </c>
      <c r="BF384" s="21" t="s">
        <v>2492</v>
      </c>
      <c r="BG384" s="41">
        <v>731</v>
      </c>
    </row>
    <row r="385" spans="1:59" x14ac:dyDescent="0.3">
      <c r="A385" s="4" t="s">
        <v>368</v>
      </c>
      <c r="B385" s="13"/>
      <c r="C385" s="13" t="s">
        <v>1137</v>
      </c>
      <c r="D385" s="101" t="s">
        <v>1881</v>
      </c>
      <c r="E385" s="102"/>
      <c r="F385" s="13" t="s">
        <v>2385</v>
      </c>
      <c r="G385" s="21">
        <v>31</v>
      </c>
      <c r="H385" s="21">
        <v>0</v>
      </c>
      <c r="I385" s="21">
        <f t="shared" si="332"/>
        <v>0</v>
      </c>
      <c r="J385" s="21">
        <f t="shared" si="333"/>
        <v>0</v>
      </c>
      <c r="K385" s="21">
        <f t="shared" si="334"/>
        <v>0</v>
      </c>
      <c r="L385" s="21">
        <v>0</v>
      </c>
      <c r="M385" s="21">
        <f t="shared" si="335"/>
        <v>0</v>
      </c>
      <c r="N385" s="35"/>
      <c r="O385" s="39"/>
      <c r="U385" s="41">
        <f t="shared" si="336"/>
        <v>0</v>
      </c>
      <c r="W385" s="41">
        <f t="shared" si="337"/>
        <v>0</v>
      </c>
      <c r="X385" s="41">
        <f t="shared" si="338"/>
        <v>0</v>
      </c>
      <c r="Y385" s="41">
        <f t="shared" si="339"/>
        <v>0</v>
      </c>
      <c r="Z385" s="41">
        <f t="shared" si="340"/>
        <v>0</v>
      </c>
      <c r="AA385" s="41">
        <f t="shared" si="341"/>
        <v>0</v>
      </c>
      <c r="AB385" s="41">
        <f t="shared" si="342"/>
        <v>0</v>
      </c>
      <c r="AC385" s="41">
        <f t="shared" si="343"/>
        <v>0</v>
      </c>
      <c r="AD385" s="31"/>
      <c r="AE385" s="21">
        <f t="shared" si="344"/>
        <v>0</v>
      </c>
      <c r="AF385" s="21">
        <f t="shared" si="345"/>
        <v>0</v>
      </c>
      <c r="AG385" s="21">
        <f t="shared" si="346"/>
        <v>0</v>
      </c>
      <c r="AI385" s="41">
        <v>21</v>
      </c>
      <c r="AJ385" s="41">
        <f t="shared" si="347"/>
        <v>0</v>
      </c>
      <c r="AK385" s="41">
        <f t="shared" si="348"/>
        <v>0</v>
      </c>
      <c r="AL385" s="42" t="s">
        <v>13</v>
      </c>
      <c r="AQ385" s="41">
        <f t="shared" si="349"/>
        <v>0</v>
      </c>
      <c r="AR385" s="41">
        <f t="shared" si="350"/>
        <v>0</v>
      </c>
      <c r="AS385" s="41">
        <f t="shared" si="351"/>
        <v>0</v>
      </c>
      <c r="AT385" s="44" t="s">
        <v>2439</v>
      </c>
      <c r="AU385" s="44" t="s">
        <v>2481</v>
      </c>
      <c r="AV385" s="31" t="s">
        <v>2486</v>
      </c>
      <c r="AX385" s="41">
        <f t="shared" si="352"/>
        <v>0</v>
      </c>
      <c r="AY385" s="41">
        <f t="shared" si="353"/>
        <v>0</v>
      </c>
      <c r="AZ385" s="41">
        <v>0</v>
      </c>
      <c r="BA385" s="41">
        <f t="shared" si="354"/>
        <v>0</v>
      </c>
      <c r="BC385" s="21">
        <f t="shared" si="355"/>
        <v>0</v>
      </c>
      <c r="BD385" s="21">
        <f t="shared" si="356"/>
        <v>0</v>
      </c>
      <c r="BE385" s="21">
        <f t="shared" si="357"/>
        <v>0</v>
      </c>
      <c r="BF385" s="21" t="s">
        <v>2492</v>
      </c>
      <c r="BG385" s="41">
        <v>731</v>
      </c>
    </row>
    <row r="386" spans="1:59" x14ac:dyDescent="0.3">
      <c r="A386" s="4" t="s">
        <v>369</v>
      </c>
      <c r="B386" s="13"/>
      <c r="C386" s="13" t="s">
        <v>1137</v>
      </c>
      <c r="D386" s="101" t="s">
        <v>1882</v>
      </c>
      <c r="E386" s="102"/>
      <c r="F386" s="13" t="s">
        <v>2386</v>
      </c>
      <c r="G386" s="21">
        <v>1</v>
      </c>
      <c r="H386" s="21">
        <v>0</v>
      </c>
      <c r="I386" s="21">
        <f t="shared" si="332"/>
        <v>0</v>
      </c>
      <c r="J386" s="21">
        <f t="shared" si="333"/>
        <v>0</v>
      </c>
      <c r="K386" s="21">
        <f t="shared" si="334"/>
        <v>0</v>
      </c>
      <c r="L386" s="21">
        <v>0</v>
      </c>
      <c r="M386" s="21">
        <f t="shared" si="335"/>
        <v>0</v>
      </c>
      <c r="N386" s="35"/>
      <c r="O386" s="39"/>
      <c r="U386" s="41">
        <f t="shared" si="336"/>
        <v>0</v>
      </c>
      <c r="W386" s="41">
        <f t="shared" si="337"/>
        <v>0</v>
      </c>
      <c r="X386" s="41">
        <f t="shared" si="338"/>
        <v>0</v>
      </c>
      <c r="Y386" s="41">
        <f t="shared" si="339"/>
        <v>0</v>
      </c>
      <c r="Z386" s="41">
        <f t="shared" si="340"/>
        <v>0</v>
      </c>
      <c r="AA386" s="41">
        <f t="shared" si="341"/>
        <v>0</v>
      </c>
      <c r="AB386" s="41">
        <f t="shared" si="342"/>
        <v>0</v>
      </c>
      <c r="AC386" s="41">
        <f t="shared" si="343"/>
        <v>0</v>
      </c>
      <c r="AD386" s="31"/>
      <c r="AE386" s="21">
        <f t="shared" si="344"/>
        <v>0</v>
      </c>
      <c r="AF386" s="21">
        <f t="shared" si="345"/>
        <v>0</v>
      </c>
      <c r="AG386" s="21">
        <f t="shared" si="346"/>
        <v>0</v>
      </c>
      <c r="AI386" s="41">
        <v>21</v>
      </c>
      <c r="AJ386" s="41">
        <f t="shared" si="347"/>
        <v>0</v>
      </c>
      <c r="AK386" s="41">
        <f t="shared" si="348"/>
        <v>0</v>
      </c>
      <c r="AL386" s="42" t="s">
        <v>13</v>
      </c>
      <c r="AQ386" s="41">
        <f t="shared" si="349"/>
        <v>0</v>
      </c>
      <c r="AR386" s="41">
        <f t="shared" si="350"/>
        <v>0</v>
      </c>
      <c r="AS386" s="41">
        <f t="shared" si="351"/>
        <v>0</v>
      </c>
      <c r="AT386" s="44" t="s">
        <v>2439</v>
      </c>
      <c r="AU386" s="44" t="s">
        <v>2481</v>
      </c>
      <c r="AV386" s="31" t="s">
        <v>2486</v>
      </c>
      <c r="AX386" s="41">
        <f t="shared" si="352"/>
        <v>0</v>
      </c>
      <c r="AY386" s="41">
        <f t="shared" si="353"/>
        <v>0</v>
      </c>
      <c r="AZ386" s="41">
        <v>0</v>
      </c>
      <c r="BA386" s="41">
        <f t="shared" si="354"/>
        <v>0</v>
      </c>
      <c r="BC386" s="21">
        <f t="shared" si="355"/>
        <v>0</v>
      </c>
      <c r="BD386" s="21">
        <f t="shared" si="356"/>
        <v>0</v>
      </c>
      <c r="BE386" s="21">
        <f t="shared" si="357"/>
        <v>0</v>
      </c>
      <c r="BF386" s="21" t="s">
        <v>2492</v>
      </c>
      <c r="BG386" s="41">
        <v>731</v>
      </c>
    </row>
    <row r="387" spans="1:59" x14ac:dyDescent="0.3">
      <c r="A387" s="4" t="s">
        <v>370</v>
      </c>
      <c r="B387" s="13"/>
      <c r="C387" s="13" t="s">
        <v>1137</v>
      </c>
      <c r="D387" s="101" t="s">
        <v>1883</v>
      </c>
      <c r="E387" s="102"/>
      <c r="F387" s="13" t="s">
        <v>2386</v>
      </c>
      <c r="G387" s="21">
        <v>1</v>
      </c>
      <c r="H387" s="21">
        <v>0</v>
      </c>
      <c r="I387" s="21">
        <f t="shared" si="332"/>
        <v>0</v>
      </c>
      <c r="J387" s="21">
        <f t="shared" si="333"/>
        <v>0</v>
      </c>
      <c r="K387" s="21">
        <f t="shared" si="334"/>
        <v>0</v>
      </c>
      <c r="L387" s="21">
        <v>0</v>
      </c>
      <c r="M387" s="21">
        <f t="shared" si="335"/>
        <v>0</v>
      </c>
      <c r="N387" s="35"/>
      <c r="O387" s="39"/>
      <c r="U387" s="41">
        <f t="shared" si="336"/>
        <v>0</v>
      </c>
      <c r="W387" s="41">
        <f t="shared" si="337"/>
        <v>0</v>
      </c>
      <c r="X387" s="41">
        <f t="shared" si="338"/>
        <v>0</v>
      </c>
      <c r="Y387" s="41">
        <f t="shared" si="339"/>
        <v>0</v>
      </c>
      <c r="Z387" s="41">
        <f t="shared" si="340"/>
        <v>0</v>
      </c>
      <c r="AA387" s="41">
        <f t="shared" si="341"/>
        <v>0</v>
      </c>
      <c r="AB387" s="41">
        <f t="shared" si="342"/>
        <v>0</v>
      </c>
      <c r="AC387" s="41">
        <f t="shared" si="343"/>
        <v>0</v>
      </c>
      <c r="AD387" s="31"/>
      <c r="AE387" s="21">
        <f t="shared" si="344"/>
        <v>0</v>
      </c>
      <c r="AF387" s="21">
        <f t="shared" si="345"/>
        <v>0</v>
      </c>
      <c r="AG387" s="21">
        <f t="shared" si="346"/>
        <v>0</v>
      </c>
      <c r="AI387" s="41">
        <v>21</v>
      </c>
      <c r="AJ387" s="41">
        <f t="shared" si="347"/>
        <v>0</v>
      </c>
      <c r="AK387" s="41">
        <f t="shared" si="348"/>
        <v>0</v>
      </c>
      <c r="AL387" s="42" t="s">
        <v>13</v>
      </c>
      <c r="AQ387" s="41">
        <f t="shared" si="349"/>
        <v>0</v>
      </c>
      <c r="AR387" s="41">
        <f t="shared" si="350"/>
        <v>0</v>
      </c>
      <c r="AS387" s="41">
        <f t="shared" si="351"/>
        <v>0</v>
      </c>
      <c r="AT387" s="44" t="s">
        <v>2439</v>
      </c>
      <c r="AU387" s="44" t="s">
        <v>2481</v>
      </c>
      <c r="AV387" s="31" t="s">
        <v>2486</v>
      </c>
      <c r="AX387" s="41">
        <f t="shared" si="352"/>
        <v>0</v>
      </c>
      <c r="AY387" s="41">
        <f t="shared" si="353"/>
        <v>0</v>
      </c>
      <c r="AZ387" s="41">
        <v>0</v>
      </c>
      <c r="BA387" s="41">
        <f t="shared" si="354"/>
        <v>0</v>
      </c>
      <c r="BC387" s="21">
        <f t="shared" si="355"/>
        <v>0</v>
      </c>
      <c r="BD387" s="21">
        <f t="shared" si="356"/>
        <v>0</v>
      </c>
      <c r="BE387" s="21">
        <f t="shared" si="357"/>
        <v>0</v>
      </c>
      <c r="BF387" s="21" t="s">
        <v>2492</v>
      </c>
      <c r="BG387" s="41">
        <v>731</v>
      </c>
    </row>
    <row r="388" spans="1:59" x14ac:dyDescent="0.3">
      <c r="A388" s="4" t="s">
        <v>371</v>
      </c>
      <c r="B388" s="13"/>
      <c r="C388" s="13" t="s">
        <v>1137</v>
      </c>
      <c r="D388" s="101" t="s">
        <v>1884</v>
      </c>
      <c r="E388" s="102"/>
      <c r="F388" s="13" t="s">
        <v>2386</v>
      </c>
      <c r="G388" s="21">
        <v>1</v>
      </c>
      <c r="H388" s="21">
        <v>0</v>
      </c>
      <c r="I388" s="21">
        <f t="shared" si="332"/>
        <v>0</v>
      </c>
      <c r="J388" s="21">
        <f t="shared" si="333"/>
        <v>0</v>
      </c>
      <c r="K388" s="21">
        <f t="shared" si="334"/>
        <v>0</v>
      </c>
      <c r="L388" s="21">
        <v>0</v>
      </c>
      <c r="M388" s="21">
        <f t="shared" si="335"/>
        <v>0</v>
      </c>
      <c r="N388" s="35"/>
      <c r="O388" s="39"/>
      <c r="U388" s="41">
        <f t="shared" si="336"/>
        <v>0</v>
      </c>
      <c r="W388" s="41">
        <f t="shared" si="337"/>
        <v>0</v>
      </c>
      <c r="X388" s="41">
        <f t="shared" si="338"/>
        <v>0</v>
      </c>
      <c r="Y388" s="41">
        <f t="shared" si="339"/>
        <v>0</v>
      </c>
      <c r="Z388" s="41">
        <f t="shared" si="340"/>
        <v>0</v>
      </c>
      <c r="AA388" s="41">
        <f t="shared" si="341"/>
        <v>0</v>
      </c>
      <c r="AB388" s="41">
        <f t="shared" si="342"/>
        <v>0</v>
      </c>
      <c r="AC388" s="41">
        <f t="shared" si="343"/>
        <v>0</v>
      </c>
      <c r="AD388" s="31"/>
      <c r="AE388" s="21">
        <f t="shared" si="344"/>
        <v>0</v>
      </c>
      <c r="AF388" s="21">
        <f t="shared" si="345"/>
        <v>0</v>
      </c>
      <c r="AG388" s="21">
        <f t="shared" si="346"/>
        <v>0</v>
      </c>
      <c r="AI388" s="41">
        <v>21</v>
      </c>
      <c r="AJ388" s="41">
        <f t="shared" si="347"/>
        <v>0</v>
      </c>
      <c r="AK388" s="41">
        <f t="shared" si="348"/>
        <v>0</v>
      </c>
      <c r="AL388" s="42" t="s">
        <v>13</v>
      </c>
      <c r="AQ388" s="41">
        <f t="shared" si="349"/>
        <v>0</v>
      </c>
      <c r="AR388" s="41">
        <f t="shared" si="350"/>
        <v>0</v>
      </c>
      <c r="AS388" s="41">
        <f t="shared" si="351"/>
        <v>0</v>
      </c>
      <c r="AT388" s="44" t="s">
        <v>2439</v>
      </c>
      <c r="AU388" s="44" t="s">
        <v>2481</v>
      </c>
      <c r="AV388" s="31" t="s">
        <v>2486</v>
      </c>
      <c r="AX388" s="41">
        <f t="shared" si="352"/>
        <v>0</v>
      </c>
      <c r="AY388" s="41">
        <f t="shared" si="353"/>
        <v>0</v>
      </c>
      <c r="AZ388" s="41">
        <v>0</v>
      </c>
      <c r="BA388" s="41">
        <f t="shared" si="354"/>
        <v>0</v>
      </c>
      <c r="BC388" s="21">
        <f t="shared" si="355"/>
        <v>0</v>
      </c>
      <c r="BD388" s="21">
        <f t="shared" si="356"/>
        <v>0</v>
      </c>
      <c r="BE388" s="21">
        <f t="shared" si="357"/>
        <v>0</v>
      </c>
      <c r="BF388" s="21" t="s">
        <v>2492</v>
      </c>
      <c r="BG388" s="41">
        <v>731</v>
      </c>
    </row>
    <row r="389" spans="1:59" x14ac:dyDescent="0.3">
      <c r="A389" s="4" t="s">
        <v>372</v>
      </c>
      <c r="B389" s="13"/>
      <c r="C389" s="13" t="s">
        <v>1137</v>
      </c>
      <c r="D389" s="101" t="s">
        <v>1885</v>
      </c>
      <c r="E389" s="102"/>
      <c r="F389" s="13" t="s">
        <v>2386</v>
      </c>
      <c r="G389" s="21">
        <v>1</v>
      </c>
      <c r="H389" s="21">
        <v>0</v>
      </c>
      <c r="I389" s="21">
        <f t="shared" si="332"/>
        <v>0</v>
      </c>
      <c r="J389" s="21">
        <f t="shared" si="333"/>
        <v>0</v>
      </c>
      <c r="K389" s="21">
        <f t="shared" si="334"/>
        <v>0</v>
      </c>
      <c r="L389" s="21">
        <v>0</v>
      </c>
      <c r="M389" s="21">
        <f t="shared" si="335"/>
        <v>0</v>
      </c>
      <c r="N389" s="35"/>
      <c r="O389" s="39"/>
      <c r="U389" s="41">
        <f t="shared" si="336"/>
        <v>0</v>
      </c>
      <c r="W389" s="41">
        <f t="shared" si="337"/>
        <v>0</v>
      </c>
      <c r="X389" s="41">
        <f t="shared" si="338"/>
        <v>0</v>
      </c>
      <c r="Y389" s="41">
        <f t="shared" si="339"/>
        <v>0</v>
      </c>
      <c r="Z389" s="41">
        <f t="shared" si="340"/>
        <v>0</v>
      </c>
      <c r="AA389" s="41">
        <f t="shared" si="341"/>
        <v>0</v>
      </c>
      <c r="AB389" s="41">
        <f t="shared" si="342"/>
        <v>0</v>
      </c>
      <c r="AC389" s="41">
        <f t="shared" si="343"/>
        <v>0</v>
      </c>
      <c r="AD389" s="31"/>
      <c r="AE389" s="21">
        <f t="shared" si="344"/>
        <v>0</v>
      </c>
      <c r="AF389" s="21">
        <f t="shared" si="345"/>
        <v>0</v>
      </c>
      <c r="AG389" s="21">
        <f t="shared" si="346"/>
        <v>0</v>
      </c>
      <c r="AI389" s="41">
        <v>21</v>
      </c>
      <c r="AJ389" s="41">
        <f t="shared" si="347"/>
        <v>0</v>
      </c>
      <c r="AK389" s="41">
        <f t="shared" si="348"/>
        <v>0</v>
      </c>
      <c r="AL389" s="42" t="s">
        <v>13</v>
      </c>
      <c r="AQ389" s="41">
        <f t="shared" si="349"/>
        <v>0</v>
      </c>
      <c r="AR389" s="41">
        <f t="shared" si="350"/>
        <v>0</v>
      </c>
      <c r="AS389" s="41">
        <f t="shared" si="351"/>
        <v>0</v>
      </c>
      <c r="AT389" s="44" t="s">
        <v>2439</v>
      </c>
      <c r="AU389" s="44" t="s">
        <v>2481</v>
      </c>
      <c r="AV389" s="31" t="s">
        <v>2486</v>
      </c>
      <c r="AX389" s="41">
        <f t="shared" si="352"/>
        <v>0</v>
      </c>
      <c r="AY389" s="41">
        <f t="shared" si="353"/>
        <v>0</v>
      </c>
      <c r="AZ389" s="41">
        <v>0</v>
      </c>
      <c r="BA389" s="41">
        <f t="shared" si="354"/>
        <v>0</v>
      </c>
      <c r="BC389" s="21">
        <f t="shared" si="355"/>
        <v>0</v>
      </c>
      <c r="BD389" s="21">
        <f t="shared" si="356"/>
        <v>0</v>
      </c>
      <c r="BE389" s="21">
        <f t="shared" si="357"/>
        <v>0</v>
      </c>
      <c r="BF389" s="21" t="s">
        <v>2492</v>
      </c>
      <c r="BG389" s="41">
        <v>731</v>
      </c>
    </row>
    <row r="390" spans="1:59" x14ac:dyDescent="0.3">
      <c r="A390" s="4" t="s">
        <v>373</v>
      </c>
      <c r="B390" s="13"/>
      <c r="C390" s="13" t="s">
        <v>1137</v>
      </c>
      <c r="D390" s="101" t="s">
        <v>1886</v>
      </c>
      <c r="E390" s="102"/>
      <c r="F390" s="13" t="s">
        <v>2386</v>
      </c>
      <c r="G390" s="21">
        <v>1</v>
      </c>
      <c r="H390" s="21">
        <v>0</v>
      </c>
      <c r="I390" s="21">
        <f t="shared" si="332"/>
        <v>0</v>
      </c>
      <c r="J390" s="21">
        <f t="shared" si="333"/>
        <v>0</v>
      </c>
      <c r="K390" s="21">
        <f t="shared" si="334"/>
        <v>0</v>
      </c>
      <c r="L390" s="21">
        <v>0</v>
      </c>
      <c r="M390" s="21">
        <f t="shared" si="335"/>
        <v>0</v>
      </c>
      <c r="N390" s="35"/>
      <c r="O390" s="39"/>
      <c r="U390" s="41">
        <f t="shared" si="336"/>
        <v>0</v>
      </c>
      <c r="W390" s="41">
        <f t="shared" si="337"/>
        <v>0</v>
      </c>
      <c r="X390" s="41">
        <f t="shared" si="338"/>
        <v>0</v>
      </c>
      <c r="Y390" s="41">
        <f t="shared" si="339"/>
        <v>0</v>
      </c>
      <c r="Z390" s="41">
        <f t="shared" si="340"/>
        <v>0</v>
      </c>
      <c r="AA390" s="41">
        <f t="shared" si="341"/>
        <v>0</v>
      </c>
      <c r="AB390" s="41">
        <f t="shared" si="342"/>
        <v>0</v>
      </c>
      <c r="AC390" s="41">
        <f t="shared" si="343"/>
        <v>0</v>
      </c>
      <c r="AD390" s="31"/>
      <c r="AE390" s="21">
        <f t="shared" si="344"/>
        <v>0</v>
      </c>
      <c r="AF390" s="21">
        <f t="shared" si="345"/>
        <v>0</v>
      </c>
      <c r="AG390" s="21">
        <f t="shared" si="346"/>
        <v>0</v>
      </c>
      <c r="AI390" s="41">
        <v>21</v>
      </c>
      <c r="AJ390" s="41">
        <f t="shared" si="347"/>
        <v>0</v>
      </c>
      <c r="AK390" s="41">
        <f t="shared" si="348"/>
        <v>0</v>
      </c>
      <c r="AL390" s="42" t="s">
        <v>13</v>
      </c>
      <c r="AQ390" s="41">
        <f t="shared" si="349"/>
        <v>0</v>
      </c>
      <c r="AR390" s="41">
        <f t="shared" si="350"/>
        <v>0</v>
      </c>
      <c r="AS390" s="41">
        <f t="shared" si="351"/>
        <v>0</v>
      </c>
      <c r="AT390" s="44" t="s">
        <v>2439</v>
      </c>
      <c r="AU390" s="44" t="s">
        <v>2481</v>
      </c>
      <c r="AV390" s="31" t="s">
        <v>2486</v>
      </c>
      <c r="AX390" s="41">
        <f t="shared" si="352"/>
        <v>0</v>
      </c>
      <c r="AY390" s="41">
        <f t="shared" si="353"/>
        <v>0</v>
      </c>
      <c r="AZ390" s="41">
        <v>0</v>
      </c>
      <c r="BA390" s="41">
        <f t="shared" si="354"/>
        <v>0</v>
      </c>
      <c r="BC390" s="21">
        <f t="shared" si="355"/>
        <v>0</v>
      </c>
      <c r="BD390" s="21">
        <f t="shared" si="356"/>
        <v>0</v>
      </c>
      <c r="BE390" s="21">
        <f t="shared" si="357"/>
        <v>0</v>
      </c>
      <c r="BF390" s="21" t="s">
        <v>2492</v>
      </c>
      <c r="BG390" s="41">
        <v>731</v>
      </c>
    </row>
    <row r="391" spans="1:59" x14ac:dyDescent="0.3">
      <c r="A391" s="4" t="s">
        <v>374</v>
      </c>
      <c r="B391" s="13"/>
      <c r="C391" s="13" t="s">
        <v>1137</v>
      </c>
      <c r="D391" s="101" t="s">
        <v>1887</v>
      </c>
      <c r="E391" s="102"/>
      <c r="F391" s="13" t="s">
        <v>2386</v>
      </c>
      <c r="G391" s="21">
        <v>5</v>
      </c>
      <c r="H391" s="21">
        <v>0</v>
      </c>
      <c r="I391" s="21">
        <f t="shared" si="332"/>
        <v>0</v>
      </c>
      <c r="J391" s="21">
        <f t="shared" si="333"/>
        <v>0</v>
      </c>
      <c r="K391" s="21">
        <f t="shared" si="334"/>
        <v>0</v>
      </c>
      <c r="L391" s="21">
        <v>0</v>
      </c>
      <c r="M391" s="21">
        <f t="shared" si="335"/>
        <v>0</v>
      </c>
      <c r="N391" s="35"/>
      <c r="O391" s="39"/>
      <c r="U391" s="41">
        <f t="shared" si="336"/>
        <v>0</v>
      </c>
      <c r="W391" s="41">
        <f t="shared" si="337"/>
        <v>0</v>
      </c>
      <c r="X391" s="41">
        <f t="shared" si="338"/>
        <v>0</v>
      </c>
      <c r="Y391" s="41">
        <f t="shared" si="339"/>
        <v>0</v>
      </c>
      <c r="Z391" s="41">
        <f t="shared" si="340"/>
        <v>0</v>
      </c>
      <c r="AA391" s="41">
        <f t="shared" si="341"/>
        <v>0</v>
      </c>
      <c r="AB391" s="41">
        <f t="shared" si="342"/>
        <v>0</v>
      </c>
      <c r="AC391" s="41">
        <f t="shared" si="343"/>
        <v>0</v>
      </c>
      <c r="AD391" s="31"/>
      <c r="AE391" s="21">
        <f t="shared" si="344"/>
        <v>0</v>
      </c>
      <c r="AF391" s="21">
        <f t="shared" si="345"/>
        <v>0</v>
      </c>
      <c r="AG391" s="21">
        <f t="shared" si="346"/>
        <v>0</v>
      </c>
      <c r="AI391" s="41">
        <v>21</v>
      </c>
      <c r="AJ391" s="41">
        <f t="shared" si="347"/>
        <v>0</v>
      </c>
      <c r="AK391" s="41">
        <f t="shared" si="348"/>
        <v>0</v>
      </c>
      <c r="AL391" s="42" t="s">
        <v>13</v>
      </c>
      <c r="AQ391" s="41">
        <f t="shared" si="349"/>
        <v>0</v>
      </c>
      <c r="AR391" s="41">
        <f t="shared" si="350"/>
        <v>0</v>
      </c>
      <c r="AS391" s="41">
        <f t="shared" si="351"/>
        <v>0</v>
      </c>
      <c r="AT391" s="44" t="s">
        <v>2439</v>
      </c>
      <c r="AU391" s="44" t="s">
        <v>2481</v>
      </c>
      <c r="AV391" s="31" t="s">
        <v>2486</v>
      </c>
      <c r="AX391" s="41">
        <f t="shared" si="352"/>
        <v>0</v>
      </c>
      <c r="AY391" s="41">
        <f t="shared" si="353"/>
        <v>0</v>
      </c>
      <c r="AZ391" s="41">
        <v>0</v>
      </c>
      <c r="BA391" s="41">
        <f t="shared" si="354"/>
        <v>0</v>
      </c>
      <c r="BC391" s="21">
        <f t="shared" si="355"/>
        <v>0</v>
      </c>
      <c r="BD391" s="21">
        <f t="shared" si="356"/>
        <v>0</v>
      </c>
      <c r="BE391" s="21">
        <f t="shared" si="357"/>
        <v>0</v>
      </c>
      <c r="BF391" s="21" t="s">
        <v>2492</v>
      </c>
      <c r="BG391" s="41">
        <v>731</v>
      </c>
    </row>
    <row r="392" spans="1:59" x14ac:dyDescent="0.3">
      <c r="A392" s="4" t="s">
        <v>375</v>
      </c>
      <c r="B392" s="13"/>
      <c r="C392" s="13" t="s">
        <v>1137</v>
      </c>
      <c r="D392" s="101" t="s">
        <v>1888</v>
      </c>
      <c r="E392" s="102"/>
      <c r="F392" s="13" t="s">
        <v>2386</v>
      </c>
      <c r="G392" s="21">
        <v>5</v>
      </c>
      <c r="H392" s="21">
        <v>0</v>
      </c>
      <c r="I392" s="21">
        <f t="shared" si="332"/>
        <v>0</v>
      </c>
      <c r="J392" s="21">
        <f t="shared" si="333"/>
        <v>0</v>
      </c>
      <c r="K392" s="21">
        <f t="shared" si="334"/>
        <v>0</v>
      </c>
      <c r="L392" s="21">
        <v>0</v>
      </c>
      <c r="M392" s="21">
        <f t="shared" si="335"/>
        <v>0</v>
      </c>
      <c r="N392" s="35"/>
      <c r="O392" s="39"/>
      <c r="U392" s="41">
        <f t="shared" si="336"/>
        <v>0</v>
      </c>
      <c r="W392" s="41">
        <f t="shared" si="337"/>
        <v>0</v>
      </c>
      <c r="X392" s="41">
        <f t="shared" si="338"/>
        <v>0</v>
      </c>
      <c r="Y392" s="41">
        <f t="shared" si="339"/>
        <v>0</v>
      </c>
      <c r="Z392" s="41">
        <f t="shared" si="340"/>
        <v>0</v>
      </c>
      <c r="AA392" s="41">
        <f t="shared" si="341"/>
        <v>0</v>
      </c>
      <c r="AB392" s="41">
        <f t="shared" si="342"/>
        <v>0</v>
      </c>
      <c r="AC392" s="41">
        <f t="shared" si="343"/>
        <v>0</v>
      </c>
      <c r="AD392" s="31"/>
      <c r="AE392" s="21">
        <f t="shared" si="344"/>
        <v>0</v>
      </c>
      <c r="AF392" s="21">
        <f t="shared" si="345"/>
        <v>0</v>
      </c>
      <c r="AG392" s="21">
        <f t="shared" si="346"/>
        <v>0</v>
      </c>
      <c r="AI392" s="41">
        <v>21</v>
      </c>
      <c r="AJ392" s="41">
        <f t="shared" si="347"/>
        <v>0</v>
      </c>
      <c r="AK392" s="41">
        <f t="shared" si="348"/>
        <v>0</v>
      </c>
      <c r="AL392" s="42" t="s">
        <v>13</v>
      </c>
      <c r="AQ392" s="41">
        <f t="shared" si="349"/>
        <v>0</v>
      </c>
      <c r="AR392" s="41">
        <f t="shared" si="350"/>
        <v>0</v>
      </c>
      <c r="AS392" s="41">
        <f t="shared" si="351"/>
        <v>0</v>
      </c>
      <c r="AT392" s="44" t="s">
        <v>2439</v>
      </c>
      <c r="AU392" s="44" t="s">
        <v>2481</v>
      </c>
      <c r="AV392" s="31" t="s">
        <v>2486</v>
      </c>
      <c r="AX392" s="41">
        <f t="shared" si="352"/>
        <v>0</v>
      </c>
      <c r="AY392" s="41">
        <f t="shared" si="353"/>
        <v>0</v>
      </c>
      <c r="AZ392" s="41">
        <v>0</v>
      </c>
      <c r="BA392" s="41">
        <f t="shared" si="354"/>
        <v>0</v>
      </c>
      <c r="BC392" s="21">
        <f t="shared" si="355"/>
        <v>0</v>
      </c>
      <c r="BD392" s="21">
        <f t="shared" si="356"/>
        <v>0</v>
      </c>
      <c r="BE392" s="21">
        <f t="shared" si="357"/>
        <v>0</v>
      </c>
      <c r="BF392" s="21" t="s">
        <v>2492</v>
      </c>
      <c r="BG392" s="41">
        <v>731</v>
      </c>
    </row>
    <row r="393" spans="1:59" x14ac:dyDescent="0.3">
      <c r="A393" s="4" t="s">
        <v>376</v>
      </c>
      <c r="B393" s="13"/>
      <c r="C393" s="13" t="s">
        <v>1137</v>
      </c>
      <c r="D393" s="101" t="s">
        <v>1889</v>
      </c>
      <c r="E393" s="102"/>
      <c r="F393" s="13" t="s">
        <v>2384</v>
      </c>
      <c r="G393" s="21">
        <v>5</v>
      </c>
      <c r="H393" s="21">
        <v>0</v>
      </c>
      <c r="I393" s="21">
        <f t="shared" si="332"/>
        <v>0</v>
      </c>
      <c r="J393" s="21">
        <f t="shared" si="333"/>
        <v>0</v>
      </c>
      <c r="K393" s="21">
        <f t="shared" si="334"/>
        <v>0</v>
      </c>
      <c r="L393" s="21">
        <v>0</v>
      </c>
      <c r="M393" s="21">
        <f t="shared" si="335"/>
        <v>0</v>
      </c>
      <c r="N393" s="35"/>
      <c r="O393" s="39"/>
      <c r="U393" s="41">
        <f t="shared" si="336"/>
        <v>0</v>
      </c>
      <c r="W393" s="41">
        <f t="shared" si="337"/>
        <v>0</v>
      </c>
      <c r="X393" s="41">
        <f t="shared" si="338"/>
        <v>0</v>
      </c>
      <c r="Y393" s="41">
        <f t="shared" si="339"/>
        <v>0</v>
      </c>
      <c r="Z393" s="41">
        <f t="shared" si="340"/>
        <v>0</v>
      </c>
      <c r="AA393" s="41">
        <f t="shared" si="341"/>
        <v>0</v>
      </c>
      <c r="AB393" s="41">
        <f t="shared" si="342"/>
        <v>0</v>
      </c>
      <c r="AC393" s="41">
        <f t="shared" si="343"/>
        <v>0</v>
      </c>
      <c r="AD393" s="31"/>
      <c r="AE393" s="21">
        <f t="shared" si="344"/>
        <v>0</v>
      </c>
      <c r="AF393" s="21">
        <f t="shared" si="345"/>
        <v>0</v>
      </c>
      <c r="AG393" s="21">
        <f t="shared" si="346"/>
        <v>0</v>
      </c>
      <c r="AI393" s="41">
        <v>21</v>
      </c>
      <c r="AJ393" s="41">
        <f t="shared" si="347"/>
        <v>0</v>
      </c>
      <c r="AK393" s="41">
        <f t="shared" si="348"/>
        <v>0</v>
      </c>
      <c r="AL393" s="42" t="s">
        <v>13</v>
      </c>
      <c r="AQ393" s="41">
        <f t="shared" si="349"/>
        <v>0</v>
      </c>
      <c r="AR393" s="41">
        <f t="shared" si="350"/>
        <v>0</v>
      </c>
      <c r="AS393" s="41">
        <f t="shared" si="351"/>
        <v>0</v>
      </c>
      <c r="AT393" s="44" t="s">
        <v>2439</v>
      </c>
      <c r="AU393" s="44" t="s">
        <v>2481</v>
      </c>
      <c r="AV393" s="31" t="s">
        <v>2486</v>
      </c>
      <c r="AX393" s="41">
        <f t="shared" si="352"/>
        <v>0</v>
      </c>
      <c r="AY393" s="41">
        <f t="shared" si="353"/>
        <v>0</v>
      </c>
      <c r="AZ393" s="41">
        <v>0</v>
      </c>
      <c r="BA393" s="41">
        <f t="shared" si="354"/>
        <v>0</v>
      </c>
      <c r="BC393" s="21">
        <f t="shared" si="355"/>
        <v>0</v>
      </c>
      <c r="BD393" s="21">
        <f t="shared" si="356"/>
        <v>0</v>
      </c>
      <c r="BE393" s="21">
        <f t="shared" si="357"/>
        <v>0</v>
      </c>
      <c r="BF393" s="21" t="s">
        <v>2492</v>
      </c>
      <c r="BG393" s="41">
        <v>731</v>
      </c>
    </row>
    <row r="394" spans="1:59" x14ac:dyDescent="0.3">
      <c r="A394" s="4" t="s">
        <v>377</v>
      </c>
      <c r="B394" s="13"/>
      <c r="C394" s="13" t="s">
        <v>1137</v>
      </c>
      <c r="D394" s="101" t="s">
        <v>1890</v>
      </c>
      <c r="E394" s="102"/>
      <c r="F394" s="13" t="s">
        <v>2384</v>
      </c>
      <c r="G394" s="21">
        <v>8</v>
      </c>
      <c r="H394" s="21">
        <v>0</v>
      </c>
      <c r="I394" s="21">
        <f t="shared" si="332"/>
        <v>0</v>
      </c>
      <c r="J394" s="21">
        <f t="shared" si="333"/>
        <v>0</v>
      </c>
      <c r="K394" s="21">
        <f t="shared" si="334"/>
        <v>0</v>
      </c>
      <c r="L394" s="21">
        <v>0</v>
      </c>
      <c r="M394" s="21">
        <f t="shared" si="335"/>
        <v>0</v>
      </c>
      <c r="N394" s="35"/>
      <c r="O394" s="39"/>
      <c r="U394" s="41">
        <f t="shared" si="336"/>
        <v>0</v>
      </c>
      <c r="W394" s="41">
        <f t="shared" si="337"/>
        <v>0</v>
      </c>
      <c r="X394" s="41">
        <f t="shared" si="338"/>
        <v>0</v>
      </c>
      <c r="Y394" s="41">
        <f t="shared" si="339"/>
        <v>0</v>
      </c>
      <c r="Z394" s="41">
        <f t="shared" si="340"/>
        <v>0</v>
      </c>
      <c r="AA394" s="41">
        <f t="shared" si="341"/>
        <v>0</v>
      </c>
      <c r="AB394" s="41">
        <f t="shared" si="342"/>
        <v>0</v>
      </c>
      <c r="AC394" s="41">
        <f t="shared" si="343"/>
        <v>0</v>
      </c>
      <c r="AD394" s="31"/>
      <c r="AE394" s="21">
        <f t="shared" si="344"/>
        <v>0</v>
      </c>
      <c r="AF394" s="21">
        <f t="shared" si="345"/>
        <v>0</v>
      </c>
      <c r="AG394" s="21">
        <f t="shared" si="346"/>
        <v>0</v>
      </c>
      <c r="AI394" s="41">
        <v>21</v>
      </c>
      <c r="AJ394" s="41">
        <f t="shared" si="347"/>
        <v>0</v>
      </c>
      <c r="AK394" s="41">
        <f t="shared" si="348"/>
        <v>0</v>
      </c>
      <c r="AL394" s="42" t="s">
        <v>13</v>
      </c>
      <c r="AQ394" s="41">
        <f t="shared" si="349"/>
        <v>0</v>
      </c>
      <c r="AR394" s="41">
        <f t="shared" si="350"/>
        <v>0</v>
      </c>
      <c r="AS394" s="41">
        <f t="shared" si="351"/>
        <v>0</v>
      </c>
      <c r="AT394" s="44" t="s">
        <v>2439</v>
      </c>
      <c r="AU394" s="44" t="s">
        <v>2481</v>
      </c>
      <c r="AV394" s="31" t="s">
        <v>2486</v>
      </c>
      <c r="AX394" s="41">
        <f t="shared" si="352"/>
        <v>0</v>
      </c>
      <c r="AY394" s="41">
        <f t="shared" si="353"/>
        <v>0</v>
      </c>
      <c r="AZ394" s="41">
        <v>0</v>
      </c>
      <c r="BA394" s="41">
        <f t="shared" si="354"/>
        <v>0</v>
      </c>
      <c r="BC394" s="21">
        <f t="shared" si="355"/>
        <v>0</v>
      </c>
      <c r="BD394" s="21">
        <f t="shared" si="356"/>
        <v>0</v>
      </c>
      <c r="BE394" s="21">
        <f t="shared" si="357"/>
        <v>0</v>
      </c>
      <c r="BF394" s="21" t="s">
        <v>2492</v>
      </c>
      <c r="BG394" s="41">
        <v>731</v>
      </c>
    </row>
    <row r="395" spans="1:59" x14ac:dyDescent="0.3">
      <c r="A395" s="4" t="s">
        <v>378</v>
      </c>
      <c r="B395" s="13"/>
      <c r="C395" s="13" t="s">
        <v>1137</v>
      </c>
      <c r="D395" s="101" t="s">
        <v>1890</v>
      </c>
      <c r="E395" s="102"/>
      <c r="F395" s="13" t="s">
        <v>2384</v>
      </c>
      <c r="G395" s="21">
        <v>30</v>
      </c>
      <c r="H395" s="21">
        <v>0</v>
      </c>
      <c r="I395" s="21">
        <f t="shared" si="332"/>
        <v>0</v>
      </c>
      <c r="J395" s="21">
        <f t="shared" si="333"/>
        <v>0</v>
      </c>
      <c r="K395" s="21">
        <f t="shared" si="334"/>
        <v>0</v>
      </c>
      <c r="L395" s="21">
        <v>0</v>
      </c>
      <c r="M395" s="21">
        <f t="shared" si="335"/>
        <v>0</v>
      </c>
      <c r="N395" s="35"/>
      <c r="O395" s="39"/>
      <c r="U395" s="41">
        <f t="shared" si="336"/>
        <v>0</v>
      </c>
      <c r="W395" s="41">
        <f t="shared" si="337"/>
        <v>0</v>
      </c>
      <c r="X395" s="41">
        <f t="shared" si="338"/>
        <v>0</v>
      </c>
      <c r="Y395" s="41">
        <f t="shared" si="339"/>
        <v>0</v>
      </c>
      <c r="Z395" s="41">
        <f t="shared" si="340"/>
        <v>0</v>
      </c>
      <c r="AA395" s="41">
        <f t="shared" si="341"/>
        <v>0</v>
      </c>
      <c r="AB395" s="41">
        <f t="shared" si="342"/>
        <v>0</v>
      </c>
      <c r="AC395" s="41">
        <f t="shared" si="343"/>
        <v>0</v>
      </c>
      <c r="AD395" s="31"/>
      <c r="AE395" s="21">
        <f t="shared" si="344"/>
        <v>0</v>
      </c>
      <c r="AF395" s="21">
        <f t="shared" si="345"/>
        <v>0</v>
      </c>
      <c r="AG395" s="21">
        <f t="shared" si="346"/>
        <v>0</v>
      </c>
      <c r="AI395" s="41">
        <v>21</v>
      </c>
      <c r="AJ395" s="41">
        <f t="shared" si="347"/>
        <v>0</v>
      </c>
      <c r="AK395" s="41">
        <f t="shared" si="348"/>
        <v>0</v>
      </c>
      <c r="AL395" s="42" t="s">
        <v>13</v>
      </c>
      <c r="AQ395" s="41">
        <f t="shared" si="349"/>
        <v>0</v>
      </c>
      <c r="AR395" s="41">
        <f t="shared" si="350"/>
        <v>0</v>
      </c>
      <c r="AS395" s="41">
        <f t="shared" si="351"/>
        <v>0</v>
      </c>
      <c r="AT395" s="44" t="s">
        <v>2439</v>
      </c>
      <c r="AU395" s="44" t="s">
        <v>2481</v>
      </c>
      <c r="AV395" s="31" t="s">
        <v>2486</v>
      </c>
      <c r="AX395" s="41">
        <f t="shared" si="352"/>
        <v>0</v>
      </c>
      <c r="AY395" s="41">
        <f t="shared" si="353"/>
        <v>0</v>
      </c>
      <c r="AZ395" s="41">
        <v>0</v>
      </c>
      <c r="BA395" s="41">
        <f t="shared" si="354"/>
        <v>0</v>
      </c>
      <c r="BC395" s="21">
        <f t="shared" si="355"/>
        <v>0</v>
      </c>
      <c r="BD395" s="21">
        <f t="shared" si="356"/>
        <v>0</v>
      </c>
      <c r="BE395" s="21">
        <f t="shared" si="357"/>
        <v>0</v>
      </c>
      <c r="BF395" s="21" t="s">
        <v>2492</v>
      </c>
      <c r="BG395" s="41">
        <v>731</v>
      </c>
    </row>
    <row r="396" spans="1:59" x14ac:dyDescent="0.3">
      <c r="A396" s="4" t="s">
        <v>379</v>
      </c>
      <c r="B396" s="13"/>
      <c r="C396" s="13" t="s">
        <v>1137</v>
      </c>
      <c r="D396" s="101" t="s">
        <v>1890</v>
      </c>
      <c r="E396" s="102"/>
      <c r="F396" s="13" t="s">
        <v>2384</v>
      </c>
      <c r="G396" s="21">
        <v>2</v>
      </c>
      <c r="H396" s="21">
        <v>0</v>
      </c>
      <c r="I396" s="21">
        <f t="shared" si="332"/>
        <v>0</v>
      </c>
      <c r="J396" s="21">
        <f t="shared" si="333"/>
        <v>0</v>
      </c>
      <c r="K396" s="21">
        <f t="shared" si="334"/>
        <v>0</v>
      </c>
      <c r="L396" s="21">
        <v>0</v>
      </c>
      <c r="M396" s="21">
        <f t="shared" si="335"/>
        <v>0</v>
      </c>
      <c r="N396" s="35"/>
      <c r="O396" s="39"/>
      <c r="U396" s="41">
        <f t="shared" si="336"/>
        <v>0</v>
      </c>
      <c r="W396" s="41">
        <f t="shared" si="337"/>
        <v>0</v>
      </c>
      <c r="X396" s="41">
        <f t="shared" si="338"/>
        <v>0</v>
      </c>
      <c r="Y396" s="41">
        <f t="shared" si="339"/>
        <v>0</v>
      </c>
      <c r="Z396" s="41">
        <f t="shared" si="340"/>
        <v>0</v>
      </c>
      <c r="AA396" s="41">
        <f t="shared" si="341"/>
        <v>0</v>
      </c>
      <c r="AB396" s="41">
        <f t="shared" si="342"/>
        <v>0</v>
      </c>
      <c r="AC396" s="41">
        <f t="shared" si="343"/>
        <v>0</v>
      </c>
      <c r="AD396" s="31"/>
      <c r="AE396" s="21">
        <f t="shared" si="344"/>
        <v>0</v>
      </c>
      <c r="AF396" s="21">
        <f t="shared" si="345"/>
        <v>0</v>
      </c>
      <c r="AG396" s="21">
        <f t="shared" si="346"/>
        <v>0</v>
      </c>
      <c r="AI396" s="41">
        <v>21</v>
      </c>
      <c r="AJ396" s="41">
        <f t="shared" si="347"/>
        <v>0</v>
      </c>
      <c r="AK396" s="41">
        <f t="shared" si="348"/>
        <v>0</v>
      </c>
      <c r="AL396" s="42" t="s">
        <v>13</v>
      </c>
      <c r="AQ396" s="41">
        <f t="shared" si="349"/>
        <v>0</v>
      </c>
      <c r="AR396" s="41">
        <f t="shared" si="350"/>
        <v>0</v>
      </c>
      <c r="AS396" s="41">
        <f t="shared" si="351"/>
        <v>0</v>
      </c>
      <c r="AT396" s="44" t="s">
        <v>2439</v>
      </c>
      <c r="AU396" s="44" t="s">
        <v>2481</v>
      </c>
      <c r="AV396" s="31" t="s">
        <v>2486</v>
      </c>
      <c r="AX396" s="41">
        <f t="shared" si="352"/>
        <v>0</v>
      </c>
      <c r="AY396" s="41">
        <f t="shared" si="353"/>
        <v>0</v>
      </c>
      <c r="AZ396" s="41">
        <v>0</v>
      </c>
      <c r="BA396" s="41">
        <f t="shared" si="354"/>
        <v>0</v>
      </c>
      <c r="BC396" s="21">
        <f t="shared" si="355"/>
        <v>0</v>
      </c>
      <c r="BD396" s="21">
        <f t="shared" si="356"/>
        <v>0</v>
      </c>
      <c r="BE396" s="21">
        <f t="shared" si="357"/>
        <v>0</v>
      </c>
      <c r="BF396" s="21" t="s">
        <v>2492</v>
      </c>
      <c r="BG396" s="41">
        <v>731</v>
      </c>
    </row>
    <row r="397" spans="1:59" x14ac:dyDescent="0.3">
      <c r="A397" s="4" t="s">
        <v>380</v>
      </c>
      <c r="B397" s="13"/>
      <c r="C397" s="13" t="s">
        <v>1137</v>
      </c>
      <c r="D397" s="101" t="s">
        <v>1875</v>
      </c>
      <c r="E397" s="102"/>
      <c r="F397" s="13" t="s">
        <v>2386</v>
      </c>
      <c r="G397" s="21">
        <v>2</v>
      </c>
      <c r="H397" s="21">
        <v>0</v>
      </c>
      <c r="I397" s="21">
        <f t="shared" ref="I397:I428" si="358">G397*AJ397</f>
        <v>0</v>
      </c>
      <c r="J397" s="21">
        <f t="shared" ref="J397:J428" si="359">G397*AK397</f>
        <v>0</v>
      </c>
      <c r="K397" s="21">
        <f t="shared" ref="K397:K428" si="360">G397*H397</f>
        <v>0</v>
      </c>
      <c r="L397" s="21">
        <v>0</v>
      </c>
      <c r="M397" s="21">
        <f t="shared" ref="M397:M428" si="361">G397*L397</f>
        <v>0</v>
      </c>
      <c r="N397" s="35"/>
      <c r="O397" s="39"/>
      <c r="U397" s="41">
        <f t="shared" ref="U397:U428" si="362">IF(AL397="5",BE397,0)</f>
        <v>0</v>
      </c>
      <c r="W397" s="41">
        <f t="shared" ref="W397:W428" si="363">IF(AL397="1",BC397,0)</f>
        <v>0</v>
      </c>
      <c r="X397" s="41">
        <f t="shared" ref="X397:X428" si="364">IF(AL397="1",BD397,0)</f>
        <v>0</v>
      </c>
      <c r="Y397" s="41">
        <f t="shared" ref="Y397:Y428" si="365">IF(AL397="7",BC397,0)</f>
        <v>0</v>
      </c>
      <c r="Z397" s="41">
        <f t="shared" ref="Z397:Z428" si="366">IF(AL397="7",BD397,0)</f>
        <v>0</v>
      </c>
      <c r="AA397" s="41">
        <f t="shared" ref="AA397:AA428" si="367">IF(AL397="2",BC397,0)</f>
        <v>0</v>
      </c>
      <c r="AB397" s="41">
        <f t="shared" ref="AB397:AB428" si="368">IF(AL397="2",BD397,0)</f>
        <v>0</v>
      </c>
      <c r="AC397" s="41">
        <f t="shared" ref="AC397:AC428" si="369">IF(AL397="0",BE397,0)</f>
        <v>0</v>
      </c>
      <c r="AD397" s="31"/>
      <c r="AE397" s="21">
        <f t="shared" ref="AE397:AE428" si="370">IF(AI397=0,K397,0)</f>
        <v>0</v>
      </c>
      <c r="AF397" s="21">
        <f t="shared" ref="AF397:AF428" si="371">IF(AI397=15,K397,0)</f>
        <v>0</v>
      </c>
      <c r="AG397" s="21">
        <f t="shared" ref="AG397:AG428" si="372">IF(AI397=21,K397,0)</f>
        <v>0</v>
      </c>
      <c r="AI397" s="41">
        <v>21</v>
      </c>
      <c r="AJ397" s="41">
        <f t="shared" ref="AJ397:AJ428" si="373">H397*0</f>
        <v>0</v>
      </c>
      <c r="AK397" s="41">
        <f t="shared" ref="AK397:AK428" si="374">H397*(1-0)</f>
        <v>0</v>
      </c>
      <c r="AL397" s="42" t="s">
        <v>13</v>
      </c>
      <c r="AQ397" s="41">
        <f t="shared" ref="AQ397:AQ428" si="375">AR397+AS397</f>
        <v>0</v>
      </c>
      <c r="AR397" s="41">
        <f t="shared" ref="AR397:AR428" si="376">G397*AJ397</f>
        <v>0</v>
      </c>
      <c r="AS397" s="41">
        <f t="shared" ref="AS397:AS428" si="377">G397*AK397</f>
        <v>0</v>
      </c>
      <c r="AT397" s="44" t="s">
        <v>2439</v>
      </c>
      <c r="AU397" s="44" t="s">
        <v>2481</v>
      </c>
      <c r="AV397" s="31" t="s">
        <v>2486</v>
      </c>
      <c r="AX397" s="41">
        <f t="shared" ref="AX397:AX428" si="378">AR397+AS397</f>
        <v>0</v>
      </c>
      <c r="AY397" s="41">
        <f t="shared" ref="AY397:AY428" si="379">H397/(100-AZ397)*100</f>
        <v>0</v>
      </c>
      <c r="AZ397" s="41">
        <v>0</v>
      </c>
      <c r="BA397" s="41">
        <f t="shared" ref="BA397:BA428" si="380">M397</f>
        <v>0</v>
      </c>
      <c r="BC397" s="21">
        <f t="shared" ref="BC397:BC428" si="381">G397*AJ397</f>
        <v>0</v>
      </c>
      <c r="BD397" s="21">
        <f t="shared" ref="BD397:BD428" si="382">G397*AK397</f>
        <v>0</v>
      </c>
      <c r="BE397" s="21">
        <f t="shared" ref="BE397:BE428" si="383">G397*H397</f>
        <v>0</v>
      </c>
      <c r="BF397" s="21" t="s">
        <v>2492</v>
      </c>
      <c r="BG397" s="41">
        <v>731</v>
      </c>
    </row>
    <row r="398" spans="1:59" x14ac:dyDescent="0.3">
      <c r="A398" s="4" t="s">
        <v>381</v>
      </c>
      <c r="B398" s="13"/>
      <c r="C398" s="13" t="s">
        <v>1137</v>
      </c>
      <c r="D398" s="101" t="s">
        <v>1876</v>
      </c>
      <c r="E398" s="102"/>
      <c r="F398" s="13" t="s">
        <v>2384</v>
      </c>
      <c r="G398" s="21">
        <v>13</v>
      </c>
      <c r="H398" s="21">
        <v>0</v>
      </c>
      <c r="I398" s="21">
        <f t="shared" si="358"/>
        <v>0</v>
      </c>
      <c r="J398" s="21">
        <f t="shared" si="359"/>
        <v>0</v>
      </c>
      <c r="K398" s="21">
        <f t="shared" si="360"/>
        <v>0</v>
      </c>
      <c r="L398" s="21">
        <v>0</v>
      </c>
      <c r="M398" s="21">
        <f t="shared" si="361"/>
        <v>0</v>
      </c>
      <c r="N398" s="35"/>
      <c r="O398" s="39"/>
      <c r="U398" s="41">
        <f t="shared" si="362"/>
        <v>0</v>
      </c>
      <c r="W398" s="41">
        <f t="shared" si="363"/>
        <v>0</v>
      </c>
      <c r="X398" s="41">
        <f t="shared" si="364"/>
        <v>0</v>
      </c>
      <c r="Y398" s="41">
        <f t="shared" si="365"/>
        <v>0</v>
      </c>
      <c r="Z398" s="41">
        <f t="shared" si="366"/>
        <v>0</v>
      </c>
      <c r="AA398" s="41">
        <f t="shared" si="367"/>
        <v>0</v>
      </c>
      <c r="AB398" s="41">
        <f t="shared" si="368"/>
        <v>0</v>
      </c>
      <c r="AC398" s="41">
        <f t="shared" si="369"/>
        <v>0</v>
      </c>
      <c r="AD398" s="31"/>
      <c r="AE398" s="21">
        <f t="shared" si="370"/>
        <v>0</v>
      </c>
      <c r="AF398" s="21">
        <f t="shared" si="371"/>
        <v>0</v>
      </c>
      <c r="AG398" s="21">
        <f t="shared" si="372"/>
        <v>0</v>
      </c>
      <c r="AI398" s="41">
        <v>21</v>
      </c>
      <c r="AJ398" s="41">
        <f t="shared" si="373"/>
        <v>0</v>
      </c>
      <c r="AK398" s="41">
        <f t="shared" si="374"/>
        <v>0</v>
      </c>
      <c r="AL398" s="42" t="s">
        <v>13</v>
      </c>
      <c r="AQ398" s="41">
        <f t="shared" si="375"/>
        <v>0</v>
      </c>
      <c r="AR398" s="41">
        <f t="shared" si="376"/>
        <v>0</v>
      </c>
      <c r="AS398" s="41">
        <f t="shared" si="377"/>
        <v>0</v>
      </c>
      <c r="AT398" s="44" t="s">
        <v>2439</v>
      </c>
      <c r="AU398" s="44" t="s">
        <v>2481</v>
      </c>
      <c r="AV398" s="31" t="s">
        <v>2486</v>
      </c>
      <c r="AX398" s="41">
        <f t="shared" si="378"/>
        <v>0</v>
      </c>
      <c r="AY398" s="41">
        <f t="shared" si="379"/>
        <v>0</v>
      </c>
      <c r="AZ398" s="41">
        <v>0</v>
      </c>
      <c r="BA398" s="41">
        <f t="shared" si="380"/>
        <v>0</v>
      </c>
      <c r="BC398" s="21">
        <f t="shared" si="381"/>
        <v>0</v>
      </c>
      <c r="BD398" s="21">
        <f t="shared" si="382"/>
        <v>0</v>
      </c>
      <c r="BE398" s="21">
        <f t="shared" si="383"/>
        <v>0</v>
      </c>
      <c r="BF398" s="21" t="s">
        <v>2492</v>
      </c>
      <c r="BG398" s="41">
        <v>731</v>
      </c>
    </row>
    <row r="399" spans="1:59" x14ac:dyDescent="0.3">
      <c r="A399" s="4" t="s">
        <v>382</v>
      </c>
      <c r="B399" s="13"/>
      <c r="C399" s="13" t="s">
        <v>1137</v>
      </c>
      <c r="D399" s="101" t="s">
        <v>1877</v>
      </c>
      <c r="E399" s="102"/>
      <c r="F399" s="13" t="s">
        <v>2384</v>
      </c>
      <c r="G399" s="21">
        <v>15</v>
      </c>
      <c r="H399" s="21">
        <v>0</v>
      </c>
      <c r="I399" s="21">
        <f t="shared" si="358"/>
        <v>0</v>
      </c>
      <c r="J399" s="21">
        <f t="shared" si="359"/>
        <v>0</v>
      </c>
      <c r="K399" s="21">
        <f t="shared" si="360"/>
        <v>0</v>
      </c>
      <c r="L399" s="21">
        <v>0</v>
      </c>
      <c r="M399" s="21">
        <f t="shared" si="361"/>
        <v>0</v>
      </c>
      <c r="N399" s="35"/>
      <c r="O399" s="39"/>
      <c r="U399" s="41">
        <f t="shared" si="362"/>
        <v>0</v>
      </c>
      <c r="W399" s="41">
        <f t="shared" si="363"/>
        <v>0</v>
      </c>
      <c r="X399" s="41">
        <f t="shared" si="364"/>
        <v>0</v>
      </c>
      <c r="Y399" s="41">
        <f t="shared" si="365"/>
        <v>0</v>
      </c>
      <c r="Z399" s="41">
        <f t="shared" si="366"/>
        <v>0</v>
      </c>
      <c r="AA399" s="41">
        <f t="shared" si="367"/>
        <v>0</v>
      </c>
      <c r="AB399" s="41">
        <f t="shared" si="368"/>
        <v>0</v>
      </c>
      <c r="AC399" s="41">
        <f t="shared" si="369"/>
        <v>0</v>
      </c>
      <c r="AD399" s="31"/>
      <c r="AE399" s="21">
        <f t="shared" si="370"/>
        <v>0</v>
      </c>
      <c r="AF399" s="21">
        <f t="shared" si="371"/>
        <v>0</v>
      </c>
      <c r="AG399" s="21">
        <f t="shared" si="372"/>
        <v>0</v>
      </c>
      <c r="AI399" s="41">
        <v>21</v>
      </c>
      <c r="AJ399" s="41">
        <f t="shared" si="373"/>
        <v>0</v>
      </c>
      <c r="AK399" s="41">
        <f t="shared" si="374"/>
        <v>0</v>
      </c>
      <c r="AL399" s="42" t="s">
        <v>13</v>
      </c>
      <c r="AQ399" s="41">
        <f t="shared" si="375"/>
        <v>0</v>
      </c>
      <c r="AR399" s="41">
        <f t="shared" si="376"/>
        <v>0</v>
      </c>
      <c r="AS399" s="41">
        <f t="shared" si="377"/>
        <v>0</v>
      </c>
      <c r="AT399" s="44" t="s">
        <v>2439</v>
      </c>
      <c r="AU399" s="44" t="s">
        <v>2481</v>
      </c>
      <c r="AV399" s="31" t="s">
        <v>2486</v>
      </c>
      <c r="AX399" s="41">
        <f t="shared" si="378"/>
        <v>0</v>
      </c>
      <c r="AY399" s="41">
        <f t="shared" si="379"/>
        <v>0</v>
      </c>
      <c r="AZ399" s="41">
        <v>0</v>
      </c>
      <c r="BA399" s="41">
        <f t="shared" si="380"/>
        <v>0</v>
      </c>
      <c r="BC399" s="21">
        <f t="shared" si="381"/>
        <v>0</v>
      </c>
      <c r="BD399" s="21">
        <f t="shared" si="382"/>
        <v>0</v>
      </c>
      <c r="BE399" s="21">
        <f t="shared" si="383"/>
        <v>0</v>
      </c>
      <c r="BF399" s="21" t="s">
        <v>2492</v>
      </c>
      <c r="BG399" s="41">
        <v>731</v>
      </c>
    </row>
    <row r="400" spans="1:59" x14ac:dyDescent="0.3">
      <c r="A400" s="4" t="s">
        <v>383</v>
      </c>
      <c r="B400" s="13"/>
      <c r="C400" s="13" t="s">
        <v>1137</v>
      </c>
      <c r="D400" s="101" t="s">
        <v>1879</v>
      </c>
      <c r="E400" s="102"/>
      <c r="F400" s="13" t="s">
        <v>2384</v>
      </c>
      <c r="G400" s="21">
        <v>15</v>
      </c>
      <c r="H400" s="21">
        <v>0</v>
      </c>
      <c r="I400" s="21">
        <f t="shared" si="358"/>
        <v>0</v>
      </c>
      <c r="J400" s="21">
        <f t="shared" si="359"/>
        <v>0</v>
      </c>
      <c r="K400" s="21">
        <f t="shared" si="360"/>
        <v>0</v>
      </c>
      <c r="L400" s="21">
        <v>0</v>
      </c>
      <c r="M400" s="21">
        <f t="shared" si="361"/>
        <v>0</v>
      </c>
      <c r="N400" s="35"/>
      <c r="O400" s="39"/>
      <c r="U400" s="41">
        <f t="shared" si="362"/>
        <v>0</v>
      </c>
      <c r="W400" s="41">
        <f t="shared" si="363"/>
        <v>0</v>
      </c>
      <c r="X400" s="41">
        <f t="shared" si="364"/>
        <v>0</v>
      </c>
      <c r="Y400" s="41">
        <f t="shared" si="365"/>
        <v>0</v>
      </c>
      <c r="Z400" s="41">
        <f t="shared" si="366"/>
        <v>0</v>
      </c>
      <c r="AA400" s="41">
        <f t="shared" si="367"/>
        <v>0</v>
      </c>
      <c r="AB400" s="41">
        <f t="shared" si="368"/>
        <v>0</v>
      </c>
      <c r="AC400" s="41">
        <f t="shared" si="369"/>
        <v>0</v>
      </c>
      <c r="AD400" s="31"/>
      <c r="AE400" s="21">
        <f t="shared" si="370"/>
        <v>0</v>
      </c>
      <c r="AF400" s="21">
        <f t="shared" si="371"/>
        <v>0</v>
      </c>
      <c r="AG400" s="21">
        <f t="shared" si="372"/>
        <v>0</v>
      </c>
      <c r="AI400" s="41">
        <v>21</v>
      </c>
      <c r="AJ400" s="41">
        <f t="shared" si="373"/>
        <v>0</v>
      </c>
      <c r="AK400" s="41">
        <f t="shared" si="374"/>
        <v>0</v>
      </c>
      <c r="AL400" s="42" t="s">
        <v>13</v>
      </c>
      <c r="AQ400" s="41">
        <f t="shared" si="375"/>
        <v>0</v>
      </c>
      <c r="AR400" s="41">
        <f t="shared" si="376"/>
        <v>0</v>
      </c>
      <c r="AS400" s="41">
        <f t="shared" si="377"/>
        <v>0</v>
      </c>
      <c r="AT400" s="44" t="s">
        <v>2439</v>
      </c>
      <c r="AU400" s="44" t="s">
        <v>2481</v>
      </c>
      <c r="AV400" s="31" t="s">
        <v>2486</v>
      </c>
      <c r="AX400" s="41">
        <f t="shared" si="378"/>
        <v>0</v>
      </c>
      <c r="AY400" s="41">
        <f t="shared" si="379"/>
        <v>0</v>
      </c>
      <c r="AZ400" s="41">
        <v>0</v>
      </c>
      <c r="BA400" s="41">
        <f t="shared" si="380"/>
        <v>0</v>
      </c>
      <c r="BC400" s="21">
        <f t="shared" si="381"/>
        <v>0</v>
      </c>
      <c r="BD400" s="21">
        <f t="shared" si="382"/>
        <v>0</v>
      </c>
      <c r="BE400" s="21">
        <f t="shared" si="383"/>
        <v>0</v>
      </c>
      <c r="BF400" s="21" t="s">
        <v>2492</v>
      </c>
      <c r="BG400" s="41">
        <v>731</v>
      </c>
    </row>
    <row r="401" spans="1:59" x14ac:dyDescent="0.3">
      <c r="A401" s="4" t="s">
        <v>384</v>
      </c>
      <c r="B401" s="13"/>
      <c r="C401" s="13" t="s">
        <v>1137</v>
      </c>
      <c r="D401" s="101" t="s">
        <v>1880</v>
      </c>
      <c r="E401" s="102"/>
      <c r="F401" s="13" t="s">
        <v>2384</v>
      </c>
      <c r="G401" s="21">
        <v>30</v>
      </c>
      <c r="H401" s="21">
        <v>0</v>
      </c>
      <c r="I401" s="21">
        <f t="shared" si="358"/>
        <v>0</v>
      </c>
      <c r="J401" s="21">
        <f t="shared" si="359"/>
        <v>0</v>
      </c>
      <c r="K401" s="21">
        <f t="shared" si="360"/>
        <v>0</v>
      </c>
      <c r="L401" s="21">
        <v>0</v>
      </c>
      <c r="M401" s="21">
        <f t="shared" si="361"/>
        <v>0</v>
      </c>
      <c r="N401" s="35"/>
      <c r="O401" s="39"/>
      <c r="U401" s="41">
        <f t="shared" si="362"/>
        <v>0</v>
      </c>
      <c r="W401" s="41">
        <f t="shared" si="363"/>
        <v>0</v>
      </c>
      <c r="X401" s="41">
        <f t="shared" si="364"/>
        <v>0</v>
      </c>
      <c r="Y401" s="41">
        <f t="shared" si="365"/>
        <v>0</v>
      </c>
      <c r="Z401" s="41">
        <f t="shared" si="366"/>
        <v>0</v>
      </c>
      <c r="AA401" s="41">
        <f t="shared" si="367"/>
        <v>0</v>
      </c>
      <c r="AB401" s="41">
        <f t="shared" si="368"/>
        <v>0</v>
      </c>
      <c r="AC401" s="41">
        <f t="shared" si="369"/>
        <v>0</v>
      </c>
      <c r="AD401" s="31"/>
      <c r="AE401" s="21">
        <f t="shared" si="370"/>
        <v>0</v>
      </c>
      <c r="AF401" s="21">
        <f t="shared" si="371"/>
        <v>0</v>
      </c>
      <c r="AG401" s="21">
        <f t="shared" si="372"/>
        <v>0</v>
      </c>
      <c r="AI401" s="41">
        <v>21</v>
      </c>
      <c r="AJ401" s="41">
        <f t="shared" si="373"/>
        <v>0</v>
      </c>
      <c r="AK401" s="41">
        <f t="shared" si="374"/>
        <v>0</v>
      </c>
      <c r="AL401" s="42" t="s">
        <v>13</v>
      </c>
      <c r="AQ401" s="41">
        <f t="shared" si="375"/>
        <v>0</v>
      </c>
      <c r="AR401" s="41">
        <f t="shared" si="376"/>
        <v>0</v>
      </c>
      <c r="AS401" s="41">
        <f t="shared" si="377"/>
        <v>0</v>
      </c>
      <c r="AT401" s="44" t="s">
        <v>2439</v>
      </c>
      <c r="AU401" s="44" t="s">
        <v>2481</v>
      </c>
      <c r="AV401" s="31" t="s">
        <v>2486</v>
      </c>
      <c r="AX401" s="41">
        <f t="shared" si="378"/>
        <v>0</v>
      </c>
      <c r="AY401" s="41">
        <f t="shared" si="379"/>
        <v>0</v>
      </c>
      <c r="AZ401" s="41">
        <v>0</v>
      </c>
      <c r="BA401" s="41">
        <f t="shared" si="380"/>
        <v>0</v>
      </c>
      <c r="BC401" s="21">
        <f t="shared" si="381"/>
        <v>0</v>
      </c>
      <c r="BD401" s="21">
        <f t="shared" si="382"/>
        <v>0</v>
      </c>
      <c r="BE401" s="21">
        <f t="shared" si="383"/>
        <v>0</v>
      </c>
      <c r="BF401" s="21" t="s">
        <v>2492</v>
      </c>
      <c r="BG401" s="41">
        <v>731</v>
      </c>
    </row>
    <row r="402" spans="1:59" x14ac:dyDescent="0.3">
      <c r="A402" s="4" t="s">
        <v>385</v>
      </c>
      <c r="B402" s="13"/>
      <c r="C402" s="13" t="s">
        <v>1137</v>
      </c>
      <c r="D402" s="101" t="s">
        <v>1878</v>
      </c>
      <c r="E402" s="102"/>
      <c r="F402" s="13" t="s">
        <v>2385</v>
      </c>
      <c r="G402" s="21">
        <v>2</v>
      </c>
      <c r="H402" s="21">
        <v>0</v>
      </c>
      <c r="I402" s="21">
        <f t="shared" si="358"/>
        <v>0</v>
      </c>
      <c r="J402" s="21">
        <f t="shared" si="359"/>
        <v>0</v>
      </c>
      <c r="K402" s="21">
        <f t="shared" si="360"/>
        <v>0</v>
      </c>
      <c r="L402" s="21">
        <v>0</v>
      </c>
      <c r="M402" s="21">
        <f t="shared" si="361"/>
        <v>0</v>
      </c>
      <c r="N402" s="35"/>
      <c r="O402" s="39"/>
      <c r="U402" s="41">
        <f t="shared" si="362"/>
        <v>0</v>
      </c>
      <c r="W402" s="41">
        <f t="shared" si="363"/>
        <v>0</v>
      </c>
      <c r="X402" s="41">
        <f t="shared" si="364"/>
        <v>0</v>
      </c>
      <c r="Y402" s="41">
        <f t="shared" si="365"/>
        <v>0</v>
      </c>
      <c r="Z402" s="41">
        <f t="shared" si="366"/>
        <v>0</v>
      </c>
      <c r="AA402" s="41">
        <f t="shared" si="367"/>
        <v>0</v>
      </c>
      <c r="AB402" s="41">
        <f t="shared" si="368"/>
        <v>0</v>
      </c>
      <c r="AC402" s="41">
        <f t="shared" si="369"/>
        <v>0</v>
      </c>
      <c r="AD402" s="31"/>
      <c r="AE402" s="21">
        <f t="shared" si="370"/>
        <v>0</v>
      </c>
      <c r="AF402" s="21">
        <f t="shared" si="371"/>
        <v>0</v>
      </c>
      <c r="AG402" s="21">
        <f t="shared" si="372"/>
        <v>0</v>
      </c>
      <c r="AI402" s="41">
        <v>21</v>
      </c>
      <c r="AJ402" s="41">
        <f t="shared" si="373"/>
        <v>0</v>
      </c>
      <c r="AK402" s="41">
        <f t="shared" si="374"/>
        <v>0</v>
      </c>
      <c r="AL402" s="42" t="s">
        <v>13</v>
      </c>
      <c r="AQ402" s="41">
        <f t="shared" si="375"/>
        <v>0</v>
      </c>
      <c r="AR402" s="41">
        <f t="shared" si="376"/>
        <v>0</v>
      </c>
      <c r="AS402" s="41">
        <f t="shared" si="377"/>
        <v>0</v>
      </c>
      <c r="AT402" s="44" t="s">
        <v>2439</v>
      </c>
      <c r="AU402" s="44" t="s">
        <v>2481</v>
      </c>
      <c r="AV402" s="31" t="s">
        <v>2486</v>
      </c>
      <c r="AX402" s="41">
        <f t="shared" si="378"/>
        <v>0</v>
      </c>
      <c r="AY402" s="41">
        <f t="shared" si="379"/>
        <v>0</v>
      </c>
      <c r="AZ402" s="41">
        <v>0</v>
      </c>
      <c r="BA402" s="41">
        <f t="shared" si="380"/>
        <v>0</v>
      </c>
      <c r="BC402" s="21">
        <f t="shared" si="381"/>
        <v>0</v>
      </c>
      <c r="BD402" s="21">
        <f t="shared" si="382"/>
        <v>0</v>
      </c>
      <c r="BE402" s="21">
        <f t="shared" si="383"/>
        <v>0</v>
      </c>
      <c r="BF402" s="21" t="s">
        <v>2492</v>
      </c>
      <c r="BG402" s="41">
        <v>731</v>
      </c>
    </row>
    <row r="403" spans="1:59" x14ac:dyDescent="0.3">
      <c r="A403" s="4" t="s">
        <v>386</v>
      </c>
      <c r="B403" s="13"/>
      <c r="C403" s="13" t="s">
        <v>1137</v>
      </c>
      <c r="D403" s="101" t="s">
        <v>1878</v>
      </c>
      <c r="E403" s="102"/>
      <c r="F403" s="13" t="s">
        <v>2385</v>
      </c>
      <c r="G403" s="21">
        <v>21</v>
      </c>
      <c r="H403" s="21">
        <v>0</v>
      </c>
      <c r="I403" s="21">
        <f t="shared" si="358"/>
        <v>0</v>
      </c>
      <c r="J403" s="21">
        <f t="shared" si="359"/>
        <v>0</v>
      </c>
      <c r="K403" s="21">
        <f t="shared" si="360"/>
        <v>0</v>
      </c>
      <c r="L403" s="21">
        <v>0</v>
      </c>
      <c r="M403" s="21">
        <f t="shared" si="361"/>
        <v>0</v>
      </c>
      <c r="N403" s="35"/>
      <c r="O403" s="39"/>
      <c r="U403" s="41">
        <f t="shared" si="362"/>
        <v>0</v>
      </c>
      <c r="W403" s="41">
        <f t="shared" si="363"/>
        <v>0</v>
      </c>
      <c r="X403" s="41">
        <f t="shared" si="364"/>
        <v>0</v>
      </c>
      <c r="Y403" s="41">
        <f t="shared" si="365"/>
        <v>0</v>
      </c>
      <c r="Z403" s="41">
        <f t="shared" si="366"/>
        <v>0</v>
      </c>
      <c r="AA403" s="41">
        <f t="shared" si="367"/>
        <v>0</v>
      </c>
      <c r="AB403" s="41">
        <f t="shared" si="368"/>
        <v>0</v>
      </c>
      <c r="AC403" s="41">
        <f t="shared" si="369"/>
        <v>0</v>
      </c>
      <c r="AD403" s="31"/>
      <c r="AE403" s="21">
        <f t="shared" si="370"/>
        <v>0</v>
      </c>
      <c r="AF403" s="21">
        <f t="shared" si="371"/>
        <v>0</v>
      </c>
      <c r="AG403" s="21">
        <f t="shared" si="372"/>
        <v>0</v>
      </c>
      <c r="AI403" s="41">
        <v>21</v>
      </c>
      <c r="AJ403" s="41">
        <f t="shared" si="373"/>
        <v>0</v>
      </c>
      <c r="AK403" s="41">
        <f t="shared" si="374"/>
        <v>0</v>
      </c>
      <c r="AL403" s="42" t="s">
        <v>13</v>
      </c>
      <c r="AQ403" s="41">
        <f t="shared" si="375"/>
        <v>0</v>
      </c>
      <c r="AR403" s="41">
        <f t="shared" si="376"/>
        <v>0</v>
      </c>
      <c r="AS403" s="41">
        <f t="shared" si="377"/>
        <v>0</v>
      </c>
      <c r="AT403" s="44" t="s">
        <v>2439</v>
      </c>
      <c r="AU403" s="44" t="s">
        <v>2481</v>
      </c>
      <c r="AV403" s="31" t="s">
        <v>2486</v>
      </c>
      <c r="AX403" s="41">
        <f t="shared" si="378"/>
        <v>0</v>
      </c>
      <c r="AY403" s="41">
        <f t="shared" si="379"/>
        <v>0</v>
      </c>
      <c r="AZ403" s="41">
        <v>0</v>
      </c>
      <c r="BA403" s="41">
        <f t="shared" si="380"/>
        <v>0</v>
      </c>
      <c r="BC403" s="21">
        <f t="shared" si="381"/>
        <v>0</v>
      </c>
      <c r="BD403" s="21">
        <f t="shared" si="382"/>
        <v>0</v>
      </c>
      <c r="BE403" s="21">
        <f t="shared" si="383"/>
        <v>0</v>
      </c>
      <c r="BF403" s="21" t="s">
        <v>2492</v>
      </c>
      <c r="BG403" s="41">
        <v>731</v>
      </c>
    </row>
    <row r="404" spans="1:59" x14ac:dyDescent="0.3">
      <c r="A404" s="4" t="s">
        <v>387</v>
      </c>
      <c r="B404" s="13"/>
      <c r="C404" s="13" t="s">
        <v>1137</v>
      </c>
      <c r="D404" s="101" t="s">
        <v>1881</v>
      </c>
      <c r="E404" s="102"/>
      <c r="F404" s="13" t="s">
        <v>2385</v>
      </c>
      <c r="G404" s="21">
        <v>2</v>
      </c>
      <c r="H404" s="21">
        <v>0</v>
      </c>
      <c r="I404" s="21">
        <f t="shared" si="358"/>
        <v>0</v>
      </c>
      <c r="J404" s="21">
        <f t="shared" si="359"/>
        <v>0</v>
      </c>
      <c r="K404" s="21">
        <f t="shared" si="360"/>
        <v>0</v>
      </c>
      <c r="L404" s="21">
        <v>0</v>
      </c>
      <c r="M404" s="21">
        <f t="shared" si="361"/>
        <v>0</v>
      </c>
      <c r="N404" s="35"/>
      <c r="O404" s="39"/>
      <c r="U404" s="41">
        <f t="shared" si="362"/>
        <v>0</v>
      </c>
      <c r="W404" s="41">
        <f t="shared" si="363"/>
        <v>0</v>
      </c>
      <c r="X404" s="41">
        <f t="shared" si="364"/>
        <v>0</v>
      </c>
      <c r="Y404" s="41">
        <f t="shared" si="365"/>
        <v>0</v>
      </c>
      <c r="Z404" s="41">
        <f t="shared" si="366"/>
        <v>0</v>
      </c>
      <c r="AA404" s="41">
        <f t="shared" si="367"/>
        <v>0</v>
      </c>
      <c r="AB404" s="41">
        <f t="shared" si="368"/>
        <v>0</v>
      </c>
      <c r="AC404" s="41">
        <f t="shared" si="369"/>
        <v>0</v>
      </c>
      <c r="AD404" s="31"/>
      <c r="AE404" s="21">
        <f t="shared" si="370"/>
        <v>0</v>
      </c>
      <c r="AF404" s="21">
        <f t="shared" si="371"/>
        <v>0</v>
      </c>
      <c r="AG404" s="21">
        <f t="shared" si="372"/>
        <v>0</v>
      </c>
      <c r="AI404" s="41">
        <v>21</v>
      </c>
      <c r="AJ404" s="41">
        <f t="shared" si="373"/>
        <v>0</v>
      </c>
      <c r="AK404" s="41">
        <f t="shared" si="374"/>
        <v>0</v>
      </c>
      <c r="AL404" s="42" t="s">
        <v>13</v>
      </c>
      <c r="AQ404" s="41">
        <f t="shared" si="375"/>
        <v>0</v>
      </c>
      <c r="AR404" s="41">
        <f t="shared" si="376"/>
        <v>0</v>
      </c>
      <c r="AS404" s="41">
        <f t="shared" si="377"/>
        <v>0</v>
      </c>
      <c r="AT404" s="44" t="s">
        <v>2439</v>
      </c>
      <c r="AU404" s="44" t="s">
        <v>2481</v>
      </c>
      <c r="AV404" s="31" t="s">
        <v>2486</v>
      </c>
      <c r="AX404" s="41">
        <f t="shared" si="378"/>
        <v>0</v>
      </c>
      <c r="AY404" s="41">
        <f t="shared" si="379"/>
        <v>0</v>
      </c>
      <c r="AZ404" s="41">
        <v>0</v>
      </c>
      <c r="BA404" s="41">
        <f t="shared" si="380"/>
        <v>0</v>
      </c>
      <c r="BC404" s="21">
        <f t="shared" si="381"/>
        <v>0</v>
      </c>
      <c r="BD404" s="21">
        <f t="shared" si="382"/>
        <v>0</v>
      </c>
      <c r="BE404" s="21">
        <f t="shared" si="383"/>
        <v>0</v>
      </c>
      <c r="BF404" s="21" t="s">
        <v>2492</v>
      </c>
      <c r="BG404" s="41">
        <v>731</v>
      </c>
    </row>
    <row r="405" spans="1:59" x14ac:dyDescent="0.3">
      <c r="A405" s="4" t="s">
        <v>388</v>
      </c>
      <c r="B405" s="13"/>
      <c r="C405" s="13" t="s">
        <v>1137</v>
      </c>
      <c r="D405" s="101" t="s">
        <v>1881</v>
      </c>
      <c r="E405" s="102"/>
      <c r="F405" s="13" t="s">
        <v>2385</v>
      </c>
      <c r="G405" s="21">
        <v>21</v>
      </c>
      <c r="H405" s="21">
        <v>0</v>
      </c>
      <c r="I405" s="21">
        <f t="shared" si="358"/>
        <v>0</v>
      </c>
      <c r="J405" s="21">
        <f t="shared" si="359"/>
        <v>0</v>
      </c>
      <c r="K405" s="21">
        <f t="shared" si="360"/>
        <v>0</v>
      </c>
      <c r="L405" s="21">
        <v>0</v>
      </c>
      <c r="M405" s="21">
        <f t="shared" si="361"/>
        <v>0</v>
      </c>
      <c r="N405" s="35"/>
      <c r="O405" s="39"/>
      <c r="U405" s="41">
        <f t="shared" si="362"/>
        <v>0</v>
      </c>
      <c r="W405" s="41">
        <f t="shared" si="363"/>
        <v>0</v>
      </c>
      <c r="X405" s="41">
        <f t="shared" si="364"/>
        <v>0</v>
      </c>
      <c r="Y405" s="41">
        <f t="shared" si="365"/>
        <v>0</v>
      </c>
      <c r="Z405" s="41">
        <f t="shared" si="366"/>
        <v>0</v>
      </c>
      <c r="AA405" s="41">
        <f t="shared" si="367"/>
        <v>0</v>
      </c>
      <c r="AB405" s="41">
        <f t="shared" si="368"/>
        <v>0</v>
      </c>
      <c r="AC405" s="41">
        <f t="shared" si="369"/>
        <v>0</v>
      </c>
      <c r="AD405" s="31"/>
      <c r="AE405" s="21">
        <f t="shared" si="370"/>
        <v>0</v>
      </c>
      <c r="AF405" s="21">
        <f t="shared" si="371"/>
        <v>0</v>
      </c>
      <c r="AG405" s="21">
        <f t="shared" si="372"/>
        <v>0</v>
      </c>
      <c r="AI405" s="41">
        <v>21</v>
      </c>
      <c r="AJ405" s="41">
        <f t="shared" si="373"/>
        <v>0</v>
      </c>
      <c r="AK405" s="41">
        <f t="shared" si="374"/>
        <v>0</v>
      </c>
      <c r="AL405" s="42" t="s">
        <v>13</v>
      </c>
      <c r="AQ405" s="41">
        <f t="shared" si="375"/>
        <v>0</v>
      </c>
      <c r="AR405" s="41">
        <f t="shared" si="376"/>
        <v>0</v>
      </c>
      <c r="AS405" s="41">
        <f t="shared" si="377"/>
        <v>0</v>
      </c>
      <c r="AT405" s="44" t="s">
        <v>2439</v>
      </c>
      <c r="AU405" s="44" t="s">
        <v>2481</v>
      </c>
      <c r="AV405" s="31" t="s">
        <v>2486</v>
      </c>
      <c r="AX405" s="41">
        <f t="shared" si="378"/>
        <v>0</v>
      </c>
      <c r="AY405" s="41">
        <f t="shared" si="379"/>
        <v>0</v>
      </c>
      <c r="AZ405" s="41">
        <v>0</v>
      </c>
      <c r="BA405" s="41">
        <f t="shared" si="380"/>
        <v>0</v>
      </c>
      <c r="BC405" s="21">
        <f t="shared" si="381"/>
        <v>0</v>
      </c>
      <c r="BD405" s="21">
        <f t="shared" si="382"/>
        <v>0</v>
      </c>
      <c r="BE405" s="21">
        <f t="shared" si="383"/>
        <v>0</v>
      </c>
      <c r="BF405" s="21" t="s">
        <v>2492</v>
      </c>
      <c r="BG405" s="41">
        <v>731</v>
      </c>
    </row>
    <row r="406" spans="1:59" x14ac:dyDescent="0.3">
      <c r="A406" s="4" t="s">
        <v>389</v>
      </c>
      <c r="B406" s="13"/>
      <c r="C406" s="13" t="s">
        <v>1137</v>
      </c>
      <c r="D406" s="101" t="s">
        <v>1891</v>
      </c>
      <c r="E406" s="102"/>
      <c r="F406" s="13" t="s">
        <v>2386</v>
      </c>
      <c r="G406" s="21">
        <v>1</v>
      </c>
      <c r="H406" s="21">
        <v>0</v>
      </c>
      <c r="I406" s="21">
        <f t="shared" si="358"/>
        <v>0</v>
      </c>
      <c r="J406" s="21">
        <f t="shared" si="359"/>
        <v>0</v>
      </c>
      <c r="K406" s="21">
        <f t="shared" si="360"/>
        <v>0</v>
      </c>
      <c r="L406" s="21">
        <v>0</v>
      </c>
      <c r="M406" s="21">
        <f t="shared" si="361"/>
        <v>0</v>
      </c>
      <c r="N406" s="35"/>
      <c r="O406" s="39"/>
      <c r="U406" s="41">
        <f t="shared" si="362"/>
        <v>0</v>
      </c>
      <c r="W406" s="41">
        <f t="shared" si="363"/>
        <v>0</v>
      </c>
      <c r="X406" s="41">
        <f t="shared" si="364"/>
        <v>0</v>
      </c>
      <c r="Y406" s="41">
        <f t="shared" si="365"/>
        <v>0</v>
      </c>
      <c r="Z406" s="41">
        <f t="shared" si="366"/>
        <v>0</v>
      </c>
      <c r="AA406" s="41">
        <f t="shared" si="367"/>
        <v>0</v>
      </c>
      <c r="AB406" s="41">
        <f t="shared" si="368"/>
        <v>0</v>
      </c>
      <c r="AC406" s="41">
        <f t="shared" si="369"/>
        <v>0</v>
      </c>
      <c r="AD406" s="31"/>
      <c r="AE406" s="21">
        <f t="shared" si="370"/>
        <v>0</v>
      </c>
      <c r="AF406" s="21">
        <f t="shared" si="371"/>
        <v>0</v>
      </c>
      <c r="AG406" s="21">
        <f t="shared" si="372"/>
        <v>0</v>
      </c>
      <c r="AI406" s="41">
        <v>21</v>
      </c>
      <c r="AJ406" s="41">
        <f t="shared" si="373"/>
        <v>0</v>
      </c>
      <c r="AK406" s="41">
        <f t="shared" si="374"/>
        <v>0</v>
      </c>
      <c r="AL406" s="42" t="s">
        <v>13</v>
      </c>
      <c r="AQ406" s="41">
        <f t="shared" si="375"/>
        <v>0</v>
      </c>
      <c r="AR406" s="41">
        <f t="shared" si="376"/>
        <v>0</v>
      </c>
      <c r="AS406" s="41">
        <f t="shared" si="377"/>
        <v>0</v>
      </c>
      <c r="AT406" s="44" t="s">
        <v>2439</v>
      </c>
      <c r="AU406" s="44" t="s">
        <v>2481</v>
      </c>
      <c r="AV406" s="31" t="s">
        <v>2486</v>
      </c>
      <c r="AX406" s="41">
        <f t="shared" si="378"/>
        <v>0</v>
      </c>
      <c r="AY406" s="41">
        <f t="shared" si="379"/>
        <v>0</v>
      </c>
      <c r="AZ406" s="41">
        <v>0</v>
      </c>
      <c r="BA406" s="41">
        <f t="shared" si="380"/>
        <v>0</v>
      </c>
      <c r="BC406" s="21">
        <f t="shared" si="381"/>
        <v>0</v>
      </c>
      <c r="BD406" s="21">
        <f t="shared" si="382"/>
        <v>0</v>
      </c>
      <c r="BE406" s="21">
        <f t="shared" si="383"/>
        <v>0</v>
      </c>
      <c r="BF406" s="21" t="s">
        <v>2492</v>
      </c>
      <c r="BG406" s="41">
        <v>731</v>
      </c>
    </row>
    <row r="407" spans="1:59" x14ac:dyDescent="0.3">
      <c r="A407" s="4" t="s">
        <v>390</v>
      </c>
      <c r="B407" s="13"/>
      <c r="C407" s="13" t="s">
        <v>1137</v>
      </c>
      <c r="D407" s="101" t="s">
        <v>1891</v>
      </c>
      <c r="E407" s="102"/>
      <c r="F407" s="13" t="s">
        <v>2386</v>
      </c>
      <c r="G407" s="21">
        <v>1</v>
      </c>
      <c r="H407" s="21">
        <v>0</v>
      </c>
      <c r="I407" s="21">
        <f t="shared" si="358"/>
        <v>0</v>
      </c>
      <c r="J407" s="21">
        <f t="shared" si="359"/>
        <v>0</v>
      </c>
      <c r="K407" s="21">
        <f t="shared" si="360"/>
        <v>0</v>
      </c>
      <c r="L407" s="21">
        <v>0</v>
      </c>
      <c r="M407" s="21">
        <f t="shared" si="361"/>
        <v>0</v>
      </c>
      <c r="N407" s="35"/>
      <c r="O407" s="39"/>
      <c r="U407" s="41">
        <f t="shared" si="362"/>
        <v>0</v>
      </c>
      <c r="W407" s="41">
        <f t="shared" si="363"/>
        <v>0</v>
      </c>
      <c r="X407" s="41">
        <f t="shared" si="364"/>
        <v>0</v>
      </c>
      <c r="Y407" s="41">
        <f t="shared" si="365"/>
        <v>0</v>
      </c>
      <c r="Z407" s="41">
        <f t="shared" si="366"/>
        <v>0</v>
      </c>
      <c r="AA407" s="41">
        <f t="shared" si="367"/>
        <v>0</v>
      </c>
      <c r="AB407" s="41">
        <f t="shared" si="368"/>
        <v>0</v>
      </c>
      <c r="AC407" s="41">
        <f t="shared" si="369"/>
        <v>0</v>
      </c>
      <c r="AD407" s="31"/>
      <c r="AE407" s="21">
        <f t="shared" si="370"/>
        <v>0</v>
      </c>
      <c r="AF407" s="21">
        <f t="shared" si="371"/>
        <v>0</v>
      </c>
      <c r="AG407" s="21">
        <f t="shared" si="372"/>
        <v>0</v>
      </c>
      <c r="AI407" s="41">
        <v>21</v>
      </c>
      <c r="AJ407" s="41">
        <f t="shared" si="373"/>
        <v>0</v>
      </c>
      <c r="AK407" s="41">
        <f t="shared" si="374"/>
        <v>0</v>
      </c>
      <c r="AL407" s="42" t="s">
        <v>13</v>
      </c>
      <c r="AQ407" s="41">
        <f t="shared" si="375"/>
        <v>0</v>
      </c>
      <c r="AR407" s="41">
        <f t="shared" si="376"/>
        <v>0</v>
      </c>
      <c r="AS407" s="41">
        <f t="shared" si="377"/>
        <v>0</v>
      </c>
      <c r="AT407" s="44" t="s">
        <v>2439</v>
      </c>
      <c r="AU407" s="44" t="s">
        <v>2481</v>
      </c>
      <c r="AV407" s="31" t="s">
        <v>2486</v>
      </c>
      <c r="AX407" s="41">
        <f t="shared" si="378"/>
        <v>0</v>
      </c>
      <c r="AY407" s="41">
        <f t="shared" si="379"/>
        <v>0</v>
      </c>
      <c r="AZ407" s="41">
        <v>0</v>
      </c>
      <c r="BA407" s="41">
        <f t="shared" si="380"/>
        <v>0</v>
      </c>
      <c r="BC407" s="21">
        <f t="shared" si="381"/>
        <v>0</v>
      </c>
      <c r="BD407" s="21">
        <f t="shared" si="382"/>
        <v>0</v>
      </c>
      <c r="BE407" s="21">
        <f t="shared" si="383"/>
        <v>0</v>
      </c>
      <c r="BF407" s="21" t="s">
        <v>2492</v>
      </c>
      <c r="BG407" s="41">
        <v>731</v>
      </c>
    </row>
    <row r="408" spans="1:59" x14ac:dyDescent="0.3">
      <c r="A408" s="4" t="s">
        <v>391</v>
      </c>
      <c r="B408" s="13"/>
      <c r="C408" s="13" t="s">
        <v>1137</v>
      </c>
      <c r="D408" s="101" t="s">
        <v>1867</v>
      </c>
      <c r="E408" s="102"/>
      <c r="F408" s="13" t="s">
        <v>2386</v>
      </c>
      <c r="G408" s="21">
        <v>1</v>
      </c>
      <c r="H408" s="21">
        <v>0</v>
      </c>
      <c r="I408" s="21">
        <f t="shared" si="358"/>
        <v>0</v>
      </c>
      <c r="J408" s="21">
        <f t="shared" si="359"/>
        <v>0</v>
      </c>
      <c r="K408" s="21">
        <f t="shared" si="360"/>
        <v>0</v>
      </c>
      <c r="L408" s="21">
        <v>0</v>
      </c>
      <c r="M408" s="21">
        <f t="shared" si="361"/>
        <v>0</v>
      </c>
      <c r="N408" s="35"/>
      <c r="O408" s="39"/>
      <c r="U408" s="41">
        <f t="shared" si="362"/>
        <v>0</v>
      </c>
      <c r="W408" s="41">
        <f t="shared" si="363"/>
        <v>0</v>
      </c>
      <c r="X408" s="41">
        <f t="shared" si="364"/>
        <v>0</v>
      </c>
      <c r="Y408" s="41">
        <f t="shared" si="365"/>
        <v>0</v>
      </c>
      <c r="Z408" s="41">
        <f t="shared" si="366"/>
        <v>0</v>
      </c>
      <c r="AA408" s="41">
        <f t="shared" si="367"/>
        <v>0</v>
      </c>
      <c r="AB408" s="41">
        <f t="shared" si="368"/>
        <v>0</v>
      </c>
      <c r="AC408" s="41">
        <f t="shared" si="369"/>
        <v>0</v>
      </c>
      <c r="AD408" s="31"/>
      <c r="AE408" s="21">
        <f t="shared" si="370"/>
        <v>0</v>
      </c>
      <c r="AF408" s="21">
        <f t="shared" si="371"/>
        <v>0</v>
      </c>
      <c r="AG408" s="21">
        <f t="shared" si="372"/>
        <v>0</v>
      </c>
      <c r="AI408" s="41">
        <v>21</v>
      </c>
      <c r="AJ408" s="41">
        <f t="shared" si="373"/>
        <v>0</v>
      </c>
      <c r="AK408" s="41">
        <f t="shared" si="374"/>
        <v>0</v>
      </c>
      <c r="AL408" s="42" t="s">
        <v>13</v>
      </c>
      <c r="AQ408" s="41">
        <f t="shared" si="375"/>
        <v>0</v>
      </c>
      <c r="AR408" s="41">
        <f t="shared" si="376"/>
        <v>0</v>
      </c>
      <c r="AS408" s="41">
        <f t="shared" si="377"/>
        <v>0</v>
      </c>
      <c r="AT408" s="44" t="s">
        <v>2439</v>
      </c>
      <c r="AU408" s="44" t="s">
        <v>2481</v>
      </c>
      <c r="AV408" s="31" t="s">
        <v>2486</v>
      </c>
      <c r="AX408" s="41">
        <f t="shared" si="378"/>
        <v>0</v>
      </c>
      <c r="AY408" s="41">
        <f t="shared" si="379"/>
        <v>0</v>
      </c>
      <c r="AZ408" s="41">
        <v>0</v>
      </c>
      <c r="BA408" s="41">
        <f t="shared" si="380"/>
        <v>0</v>
      </c>
      <c r="BC408" s="21">
        <f t="shared" si="381"/>
        <v>0</v>
      </c>
      <c r="BD408" s="21">
        <f t="shared" si="382"/>
        <v>0</v>
      </c>
      <c r="BE408" s="21">
        <f t="shared" si="383"/>
        <v>0</v>
      </c>
      <c r="BF408" s="21" t="s">
        <v>2492</v>
      </c>
      <c r="BG408" s="41">
        <v>731</v>
      </c>
    </row>
    <row r="409" spans="1:59" x14ac:dyDescent="0.3">
      <c r="A409" s="4" t="s">
        <v>392</v>
      </c>
      <c r="B409" s="13"/>
      <c r="C409" s="13" t="s">
        <v>1137</v>
      </c>
      <c r="D409" s="101" t="s">
        <v>1892</v>
      </c>
      <c r="E409" s="102"/>
      <c r="F409" s="13" t="s">
        <v>2386</v>
      </c>
      <c r="G409" s="21">
        <v>1</v>
      </c>
      <c r="H409" s="21">
        <v>0</v>
      </c>
      <c r="I409" s="21">
        <f t="shared" si="358"/>
        <v>0</v>
      </c>
      <c r="J409" s="21">
        <f t="shared" si="359"/>
        <v>0</v>
      </c>
      <c r="K409" s="21">
        <f t="shared" si="360"/>
        <v>0</v>
      </c>
      <c r="L409" s="21">
        <v>0</v>
      </c>
      <c r="M409" s="21">
        <f t="shared" si="361"/>
        <v>0</v>
      </c>
      <c r="N409" s="35"/>
      <c r="O409" s="39"/>
      <c r="U409" s="41">
        <f t="shared" si="362"/>
        <v>0</v>
      </c>
      <c r="W409" s="41">
        <f t="shared" si="363"/>
        <v>0</v>
      </c>
      <c r="X409" s="41">
        <f t="shared" si="364"/>
        <v>0</v>
      </c>
      <c r="Y409" s="41">
        <f t="shared" si="365"/>
        <v>0</v>
      </c>
      <c r="Z409" s="41">
        <f t="shared" si="366"/>
        <v>0</v>
      </c>
      <c r="AA409" s="41">
        <f t="shared" si="367"/>
        <v>0</v>
      </c>
      <c r="AB409" s="41">
        <f t="shared" si="368"/>
        <v>0</v>
      </c>
      <c r="AC409" s="41">
        <f t="shared" si="369"/>
        <v>0</v>
      </c>
      <c r="AD409" s="31"/>
      <c r="AE409" s="21">
        <f t="shared" si="370"/>
        <v>0</v>
      </c>
      <c r="AF409" s="21">
        <f t="shared" si="371"/>
        <v>0</v>
      </c>
      <c r="AG409" s="21">
        <f t="shared" si="372"/>
        <v>0</v>
      </c>
      <c r="AI409" s="41">
        <v>21</v>
      </c>
      <c r="AJ409" s="41">
        <f t="shared" si="373"/>
        <v>0</v>
      </c>
      <c r="AK409" s="41">
        <f t="shared" si="374"/>
        <v>0</v>
      </c>
      <c r="AL409" s="42" t="s">
        <v>13</v>
      </c>
      <c r="AQ409" s="41">
        <f t="shared" si="375"/>
        <v>0</v>
      </c>
      <c r="AR409" s="41">
        <f t="shared" si="376"/>
        <v>0</v>
      </c>
      <c r="AS409" s="41">
        <f t="shared" si="377"/>
        <v>0</v>
      </c>
      <c r="AT409" s="44" t="s">
        <v>2439</v>
      </c>
      <c r="AU409" s="44" t="s">
        <v>2481</v>
      </c>
      <c r="AV409" s="31" t="s">
        <v>2486</v>
      </c>
      <c r="AX409" s="41">
        <f t="shared" si="378"/>
        <v>0</v>
      </c>
      <c r="AY409" s="41">
        <f t="shared" si="379"/>
        <v>0</v>
      </c>
      <c r="AZ409" s="41">
        <v>0</v>
      </c>
      <c r="BA409" s="41">
        <f t="shared" si="380"/>
        <v>0</v>
      </c>
      <c r="BC409" s="21">
        <f t="shared" si="381"/>
        <v>0</v>
      </c>
      <c r="BD409" s="21">
        <f t="shared" si="382"/>
        <v>0</v>
      </c>
      <c r="BE409" s="21">
        <f t="shared" si="383"/>
        <v>0</v>
      </c>
      <c r="BF409" s="21" t="s">
        <v>2492</v>
      </c>
      <c r="BG409" s="41">
        <v>731</v>
      </c>
    </row>
    <row r="410" spans="1:59" x14ac:dyDescent="0.3">
      <c r="A410" s="4" t="s">
        <v>393</v>
      </c>
      <c r="B410" s="13"/>
      <c r="C410" s="13" t="s">
        <v>1137</v>
      </c>
      <c r="D410" s="101" t="s">
        <v>1893</v>
      </c>
      <c r="E410" s="102"/>
      <c r="F410" s="13" t="s">
        <v>2386</v>
      </c>
      <c r="G410" s="21">
        <v>1</v>
      </c>
      <c r="H410" s="21">
        <v>0</v>
      </c>
      <c r="I410" s="21">
        <f t="shared" si="358"/>
        <v>0</v>
      </c>
      <c r="J410" s="21">
        <f t="shared" si="359"/>
        <v>0</v>
      </c>
      <c r="K410" s="21">
        <f t="shared" si="360"/>
        <v>0</v>
      </c>
      <c r="L410" s="21">
        <v>0</v>
      </c>
      <c r="M410" s="21">
        <f t="shared" si="361"/>
        <v>0</v>
      </c>
      <c r="N410" s="35"/>
      <c r="O410" s="39"/>
      <c r="U410" s="41">
        <f t="shared" si="362"/>
        <v>0</v>
      </c>
      <c r="W410" s="41">
        <f t="shared" si="363"/>
        <v>0</v>
      </c>
      <c r="X410" s="41">
        <f t="shared" si="364"/>
        <v>0</v>
      </c>
      <c r="Y410" s="41">
        <f t="shared" si="365"/>
        <v>0</v>
      </c>
      <c r="Z410" s="41">
        <f t="shared" si="366"/>
        <v>0</v>
      </c>
      <c r="AA410" s="41">
        <f t="shared" si="367"/>
        <v>0</v>
      </c>
      <c r="AB410" s="41">
        <f t="shared" si="368"/>
        <v>0</v>
      </c>
      <c r="AC410" s="41">
        <f t="shared" si="369"/>
        <v>0</v>
      </c>
      <c r="AD410" s="31"/>
      <c r="AE410" s="21">
        <f t="shared" si="370"/>
        <v>0</v>
      </c>
      <c r="AF410" s="21">
        <f t="shared" si="371"/>
        <v>0</v>
      </c>
      <c r="AG410" s="21">
        <f t="shared" si="372"/>
        <v>0</v>
      </c>
      <c r="AI410" s="41">
        <v>21</v>
      </c>
      <c r="AJ410" s="41">
        <f t="shared" si="373"/>
        <v>0</v>
      </c>
      <c r="AK410" s="41">
        <f t="shared" si="374"/>
        <v>0</v>
      </c>
      <c r="AL410" s="42" t="s">
        <v>13</v>
      </c>
      <c r="AQ410" s="41">
        <f t="shared" si="375"/>
        <v>0</v>
      </c>
      <c r="AR410" s="41">
        <f t="shared" si="376"/>
        <v>0</v>
      </c>
      <c r="AS410" s="41">
        <f t="shared" si="377"/>
        <v>0</v>
      </c>
      <c r="AT410" s="44" t="s">
        <v>2439</v>
      </c>
      <c r="AU410" s="44" t="s">
        <v>2481</v>
      </c>
      <c r="AV410" s="31" t="s">
        <v>2486</v>
      </c>
      <c r="AX410" s="41">
        <f t="shared" si="378"/>
        <v>0</v>
      </c>
      <c r="AY410" s="41">
        <f t="shared" si="379"/>
        <v>0</v>
      </c>
      <c r="AZ410" s="41">
        <v>0</v>
      </c>
      <c r="BA410" s="41">
        <f t="shared" si="380"/>
        <v>0</v>
      </c>
      <c r="BC410" s="21">
        <f t="shared" si="381"/>
        <v>0</v>
      </c>
      <c r="BD410" s="21">
        <f t="shared" si="382"/>
        <v>0</v>
      </c>
      <c r="BE410" s="21">
        <f t="shared" si="383"/>
        <v>0</v>
      </c>
      <c r="BF410" s="21" t="s">
        <v>2492</v>
      </c>
      <c r="BG410" s="41">
        <v>731</v>
      </c>
    </row>
    <row r="411" spans="1:59" x14ac:dyDescent="0.3">
      <c r="A411" s="4" t="s">
        <v>394</v>
      </c>
      <c r="B411" s="13"/>
      <c r="C411" s="13" t="s">
        <v>1137</v>
      </c>
      <c r="D411" s="101" t="s">
        <v>1884</v>
      </c>
      <c r="E411" s="102"/>
      <c r="F411" s="13" t="s">
        <v>2386</v>
      </c>
      <c r="G411" s="21">
        <v>1</v>
      </c>
      <c r="H411" s="21">
        <v>0</v>
      </c>
      <c r="I411" s="21">
        <f t="shared" si="358"/>
        <v>0</v>
      </c>
      <c r="J411" s="21">
        <f t="shared" si="359"/>
        <v>0</v>
      </c>
      <c r="K411" s="21">
        <f t="shared" si="360"/>
        <v>0</v>
      </c>
      <c r="L411" s="21">
        <v>0</v>
      </c>
      <c r="M411" s="21">
        <f t="shared" si="361"/>
        <v>0</v>
      </c>
      <c r="N411" s="35"/>
      <c r="O411" s="39"/>
      <c r="U411" s="41">
        <f t="shared" si="362"/>
        <v>0</v>
      </c>
      <c r="W411" s="41">
        <f t="shared" si="363"/>
        <v>0</v>
      </c>
      <c r="X411" s="41">
        <f t="shared" si="364"/>
        <v>0</v>
      </c>
      <c r="Y411" s="41">
        <f t="shared" si="365"/>
        <v>0</v>
      </c>
      <c r="Z411" s="41">
        <f t="shared" si="366"/>
        <v>0</v>
      </c>
      <c r="AA411" s="41">
        <f t="shared" si="367"/>
        <v>0</v>
      </c>
      <c r="AB411" s="41">
        <f t="shared" si="368"/>
        <v>0</v>
      </c>
      <c r="AC411" s="41">
        <f t="shared" si="369"/>
        <v>0</v>
      </c>
      <c r="AD411" s="31"/>
      <c r="AE411" s="21">
        <f t="shared" si="370"/>
        <v>0</v>
      </c>
      <c r="AF411" s="21">
        <f t="shared" si="371"/>
        <v>0</v>
      </c>
      <c r="AG411" s="21">
        <f t="shared" si="372"/>
        <v>0</v>
      </c>
      <c r="AI411" s="41">
        <v>21</v>
      </c>
      <c r="AJ411" s="41">
        <f t="shared" si="373"/>
        <v>0</v>
      </c>
      <c r="AK411" s="41">
        <f t="shared" si="374"/>
        <v>0</v>
      </c>
      <c r="AL411" s="42" t="s">
        <v>13</v>
      </c>
      <c r="AQ411" s="41">
        <f t="shared" si="375"/>
        <v>0</v>
      </c>
      <c r="AR411" s="41">
        <f t="shared" si="376"/>
        <v>0</v>
      </c>
      <c r="AS411" s="41">
        <f t="shared" si="377"/>
        <v>0</v>
      </c>
      <c r="AT411" s="44" t="s">
        <v>2439</v>
      </c>
      <c r="AU411" s="44" t="s">
        <v>2481</v>
      </c>
      <c r="AV411" s="31" t="s">
        <v>2486</v>
      </c>
      <c r="AX411" s="41">
        <f t="shared" si="378"/>
        <v>0</v>
      </c>
      <c r="AY411" s="41">
        <f t="shared" si="379"/>
        <v>0</v>
      </c>
      <c r="AZ411" s="41">
        <v>0</v>
      </c>
      <c r="BA411" s="41">
        <f t="shared" si="380"/>
        <v>0</v>
      </c>
      <c r="BC411" s="21">
        <f t="shared" si="381"/>
        <v>0</v>
      </c>
      <c r="BD411" s="21">
        <f t="shared" si="382"/>
        <v>0</v>
      </c>
      <c r="BE411" s="21">
        <f t="shared" si="383"/>
        <v>0</v>
      </c>
      <c r="BF411" s="21" t="s">
        <v>2492</v>
      </c>
      <c r="BG411" s="41">
        <v>731</v>
      </c>
    </row>
    <row r="412" spans="1:59" x14ac:dyDescent="0.3">
      <c r="A412" s="4" t="s">
        <v>395</v>
      </c>
      <c r="B412" s="13"/>
      <c r="C412" s="13" t="s">
        <v>1137</v>
      </c>
      <c r="D412" s="101" t="s">
        <v>1885</v>
      </c>
      <c r="E412" s="102"/>
      <c r="F412" s="13" t="s">
        <v>2386</v>
      </c>
      <c r="G412" s="21">
        <v>1</v>
      </c>
      <c r="H412" s="21">
        <v>0</v>
      </c>
      <c r="I412" s="21">
        <f t="shared" si="358"/>
        <v>0</v>
      </c>
      <c r="J412" s="21">
        <f t="shared" si="359"/>
        <v>0</v>
      </c>
      <c r="K412" s="21">
        <f t="shared" si="360"/>
        <v>0</v>
      </c>
      <c r="L412" s="21">
        <v>0</v>
      </c>
      <c r="M412" s="21">
        <f t="shared" si="361"/>
        <v>0</v>
      </c>
      <c r="N412" s="35"/>
      <c r="O412" s="39"/>
      <c r="U412" s="41">
        <f t="shared" si="362"/>
        <v>0</v>
      </c>
      <c r="W412" s="41">
        <f t="shared" si="363"/>
        <v>0</v>
      </c>
      <c r="X412" s="41">
        <f t="shared" si="364"/>
        <v>0</v>
      </c>
      <c r="Y412" s="41">
        <f t="shared" si="365"/>
        <v>0</v>
      </c>
      <c r="Z412" s="41">
        <f t="shared" si="366"/>
        <v>0</v>
      </c>
      <c r="AA412" s="41">
        <f t="shared" si="367"/>
        <v>0</v>
      </c>
      <c r="AB412" s="41">
        <f t="shared" si="368"/>
        <v>0</v>
      </c>
      <c r="AC412" s="41">
        <f t="shared" si="369"/>
        <v>0</v>
      </c>
      <c r="AD412" s="31"/>
      <c r="AE412" s="21">
        <f t="shared" si="370"/>
        <v>0</v>
      </c>
      <c r="AF412" s="21">
        <f t="shared" si="371"/>
        <v>0</v>
      </c>
      <c r="AG412" s="21">
        <f t="shared" si="372"/>
        <v>0</v>
      </c>
      <c r="AI412" s="41">
        <v>21</v>
      </c>
      <c r="AJ412" s="41">
        <f t="shared" si="373"/>
        <v>0</v>
      </c>
      <c r="AK412" s="41">
        <f t="shared" si="374"/>
        <v>0</v>
      </c>
      <c r="AL412" s="42" t="s">
        <v>13</v>
      </c>
      <c r="AQ412" s="41">
        <f t="shared" si="375"/>
        <v>0</v>
      </c>
      <c r="AR412" s="41">
        <f t="shared" si="376"/>
        <v>0</v>
      </c>
      <c r="AS412" s="41">
        <f t="shared" si="377"/>
        <v>0</v>
      </c>
      <c r="AT412" s="44" t="s">
        <v>2439</v>
      </c>
      <c r="AU412" s="44" t="s">
        <v>2481</v>
      </c>
      <c r="AV412" s="31" t="s">
        <v>2486</v>
      </c>
      <c r="AX412" s="41">
        <f t="shared" si="378"/>
        <v>0</v>
      </c>
      <c r="AY412" s="41">
        <f t="shared" si="379"/>
        <v>0</v>
      </c>
      <c r="AZ412" s="41">
        <v>0</v>
      </c>
      <c r="BA412" s="41">
        <f t="shared" si="380"/>
        <v>0</v>
      </c>
      <c r="BC412" s="21">
        <f t="shared" si="381"/>
        <v>0</v>
      </c>
      <c r="BD412" s="21">
        <f t="shared" si="382"/>
        <v>0</v>
      </c>
      <c r="BE412" s="21">
        <f t="shared" si="383"/>
        <v>0</v>
      </c>
      <c r="BF412" s="21" t="s">
        <v>2492</v>
      </c>
      <c r="BG412" s="41">
        <v>731</v>
      </c>
    </row>
    <row r="413" spans="1:59" x14ac:dyDescent="0.3">
      <c r="A413" s="4" t="s">
        <v>396</v>
      </c>
      <c r="B413" s="13"/>
      <c r="C413" s="13" t="s">
        <v>1137</v>
      </c>
      <c r="D413" s="101" t="s">
        <v>1886</v>
      </c>
      <c r="E413" s="102"/>
      <c r="F413" s="13" t="s">
        <v>2386</v>
      </c>
      <c r="G413" s="21">
        <v>2</v>
      </c>
      <c r="H413" s="21">
        <v>0</v>
      </c>
      <c r="I413" s="21">
        <f t="shared" si="358"/>
        <v>0</v>
      </c>
      <c r="J413" s="21">
        <f t="shared" si="359"/>
        <v>0</v>
      </c>
      <c r="K413" s="21">
        <f t="shared" si="360"/>
        <v>0</v>
      </c>
      <c r="L413" s="21">
        <v>0</v>
      </c>
      <c r="M413" s="21">
        <f t="shared" si="361"/>
        <v>0</v>
      </c>
      <c r="N413" s="35"/>
      <c r="O413" s="39"/>
      <c r="U413" s="41">
        <f t="shared" si="362"/>
        <v>0</v>
      </c>
      <c r="W413" s="41">
        <f t="shared" si="363"/>
        <v>0</v>
      </c>
      <c r="X413" s="41">
        <f t="shared" si="364"/>
        <v>0</v>
      </c>
      <c r="Y413" s="41">
        <f t="shared" si="365"/>
        <v>0</v>
      </c>
      <c r="Z413" s="41">
        <f t="shared" si="366"/>
        <v>0</v>
      </c>
      <c r="AA413" s="41">
        <f t="shared" si="367"/>
        <v>0</v>
      </c>
      <c r="AB413" s="41">
        <f t="shared" si="368"/>
        <v>0</v>
      </c>
      <c r="AC413" s="41">
        <f t="shared" si="369"/>
        <v>0</v>
      </c>
      <c r="AD413" s="31"/>
      <c r="AE413" s="21">
        <f t="shared" si="370"/>
        <v>0</v>
      </c>
      <c r="AF413" s="21">
        <f t="shared" si="371"/>
        <v>0</v>
      </c>
      <c r="AG413" s="21">
        <f t="shared" si="372"/>
        <v>0</v>
      </c>
      <c r="AI413" s="41">
        <v>21</v>
      </c>
      <c r="AJ413" s="41">
        <f t="shared" si="373"/>
        <v>0</v>
      </c>
      <c r="AK413" s="41">
        <f t="shared" si="374"/>
        <v>0</v>
      </c>
      <c r="AL413" s="42" t="s">
        <v>13</v>
      </c>
      <c r="AQ413" s="41">
        <f t="shared" si="375"/>
        <v>0</v>
      </c>
      <c r="AR413" s="41">
        <f t="shared" si="376"/>
        <v>0</v>
      </c>
      <c r="AS413" s="41">
        <f t="shared" si="377"/>
        <v>0</v>
      </c>
      <c r="AT413" s="44" t="s">
        <v>2439</v>
      </c>
      <c r="AU413" s="44" t="s">
        <v>2481</v>
      </c>
      <c r="AV413" s="31" t="s">
        <v>2486</v>
      </c>
      <c r="AX413" s="41">
        <f t="shared" si="378"/>
        <v>0</v>
      </c>
      <c r="AY413" s="41">
        <f t="shared" si="379"/>
        <v>0</v>
      </c>
      <c r="AZ413" s="41">
        <v>0</v>
      </c>
      <c r="BA413" s="41">
        <f t="shared" si="380"/>
        <v>0</v>
      </c>
      <c r="BC413" s="21">
        <f t="shared" si="381"/>
        <v>0</v>
      </c>
      <c r="BD413" s="21">
        <f t="shared" si="382"/>
        <v>0</v>
      </c>
      <c r="BE413" s="21">
        <f t="shared" si="383"/>
        <v>0</v>
      </c>
      <c r="BF413" s="21" t="s">
        <v>2492</v>
      </c>
      <c r="BG413" s="41">
        <v>731</v>
      </c>
    </row>
    <row r="414" spans="1:59" x14ac:dyDescent="0.3">
      <c r="A414" s="4" t="s">
        <v>397</v>
      </c>
      <c r="B414" s="13"/>
      <c r="C414" s="13" t="s">
        <v>1137</v>
      </c>
      <c r="D414" s="101" t="s">
        <v>1886</v>
      </c>
      <c r="E414" s="102"/>
      <c r="F414" s="13" t="s">
        <v>2386</v>
      </c>
      <c r="G414" s="21">
        <v>1</v>
      </c>
      <c r="H414" s="21">
        <v>0</v>
      </c>
      <c r="I414" s="21">
        <f t="shared" si="358"/>
        <v>0</v>
      </c>
      <c r="J414" s="21">
        <f t="shared" si="359"/>
        <v>0</v>
      </c>
      <c r="K414" s="21">
        <f t="shared" si="360"/>
        <v>0</v>
      </c>
      <c r="L414" s="21">
        <v>0</v>
      </c>
      <c r="M414" s="21">
        <f t="shared" si="361"/>
        <v>0</v>
      </c>
      <c r="N414" s="35"/>
      <c r="O414" s="39"/>
      <c r="U414" s="41">
        <f t="shared" si="362"/>
        <v>0</v>
      </c>
      <c r="W414" s="41">
        <f t="shared" si="363"/>
        <v>0</v>
      </c>
      <c r="X414" s="41">
        <f t="shared" si="364"/>
        <v>0</v>
      </c>
      <c r="Y414" s="41">
        <f t="shared" si="365"/>
        <v>0</v>
      </c>
      <c r="Z414" s="41">
        <f t="shared" si="366"/>
        <v>0</v>
      </c>
      <c r="AA414" s="41">
        <f t="shared" si="367"/>
        <v>0</v>
      </c>
      <c r="AB414" s="41">
        <f t="shared" si="368"/>
        <v>0</v>
      </c>
      <c r="AC414" s="41">
        <f t="shared" si="369"/>
        <v>0</v>
      </c>
      <c r="AD414" s="31"/>
      <c r="AE414" s="21">
        <f t="shared" si="370"/>
        <v>0</v>
      </c>
      <c r="AF414" s="21">
        <f t="shared" si="371"/>
        <v>0</v>
      </c>
      <c r="AG414" s="21">
        <f t="shared" si="372"/>
        <v>0</v>
      </c>
      <c r="AI414" s="41">
        <v>21</v>
      </c>
      <c r="AJ414" s="41">
        <f t="shared" si="373"/>
        <v>0</v>
      </c>
      <c r="AK414" s="41">
        <f t="shared" si="374"/>
        <v>0</v>
      </c>
      <c r="AL414" s="42" t="s">
        <v>13</v>
      </c>
      <c r="AQ414" s="41">
        <f t="shared" si="375"/>
        <v>0</v>
      </c>
      <c r="AR414" s="41">
        <f t="shared" si="376"/>
        <v>0</v>
      </c>
      <c r="AS414" s="41">
        <f t="shared" si="377"/>
        <v>0</v>
      </c>
      <c r="AT414" s="44" t="s">
        <v>2439</v>
      </c>
      <c r="AU414" s="44" t="s">
        <v>2481</v>
      </c>
      <c r="AV414" s="31" t="s">
        <v>2486</v>
      </c>
      <c r="AX414" s="41">
        <f t="shared" si="378"/>
        <v>0</v>
      </c>
      <c r="AY414" s="41">
        <f t="shared" si="379"/>
        <v>0</v>
      </c>
      <c r="AZ414" s="41">
        <v>0</v>
      </c>
      <c r="BA414" s="41">
        <f t="shared" si="380"/>
        <v>0</v>
      </c>
      <c r="BC414" s="21">
        <f t="shared" si="381"/>
        <v>0</v>
      </c>
      <c r="BD414" s="21">
        <f t="shared" si="382"/>
        <v>0</v>
      </c>
      <c r="BE414" s="21">
        <f t="shared" si="383"/>
        <v>0</v>
      </c>
      <c r="BF414" s="21" t="s">
        <v>2492</v>
      </c>
      <c r="BG414" s="41">
        <v>731</v>
      </c>
    </row>
    <row r="415" spans="1:59" x14ac:dyDescent="0.3">
      <c r="A415" s="4" t="s">
        <v>398</v>
      </c>
      <c r="B415" s="13"/>
      <c r="C415" s="13" t="s">
        <v>1137</v>
      </c>
      <c r="D415" s="101" t="s">
        <v>1887</v>
      </c>
      <c r="E415" s="102"/>
      <c r="F415" s="13" t="s">
        <v>2386</v>
      </c>
      <c r="G415" s="21">
        <v>10</v>
      </c>
      <c r="H415" s="21">
        <v>0</v>
      </c>
      <c r="I415" s="21">
        <f t="shared" si="358"/>
        <v>0</v>
      </c>
      <c r="J415" s="21">
        <f t="shared" si="359"/>
        <v>0</v>
      </c>
      <c r="K415" s="21">
        <f t="shared" si="360"/>
        <v>0</v>
      </c>
      <c r="L415" s="21">
        <v>0</v>
      </c>
      <c r="M415" s="21">
        <f t="shared" si="361"/>
        <v>0</v>
      </c>
      <c r="N415" s="35"/>
      <c r="O415" s="39"/>
      <c r="U415" s="41">
        <f t="shared" si="362"/>
        <v>0</v>
      </c>
      <c r="W415" s="41">
        <f t="shared" si="363"/>
        <v>0</v>
      </c>
      <c r="X415" s="41">
        <f t="shared" si="364"/>
        <v>0</v>
      </c>
      <c r="Y415" s="41">
        <f t="shared" si="365"/>
        <v>0</v>
      </c>
      <c r="Z415" s="41">
        <f t="shared" si="366"/>
        <v>0</v>
      </c>
      <c r="AA415" s="41">
        <f t="shared" si="367"/>
        <v>0</v>
      </c>
      <c r="AB415" s="41">
        <f t="shared" si="368"/>
        <v>0</v>
      </c>
      <c r="AC415" s="41">
        <f t="shared" si="369"/>
        <v>0</v>
      </c>
      <c r="AD415" s="31"/>
      <c r="AE415" s="21">
        <f t="shared" si="370"/>
        <v>0</v>
      </c>
      <c r="AF415" s="21">
        <f t="shared" si="371"/>
        <v>0</v>
      </c>
      <c r="AG415" s="21">
        <f t="shared" si="372"/>
        <v>0</v>
      </c>
      <c r="AI415" s="41">
        <v>21</v>
      </c>
      <c r="AJ415" s="41">
        <f t="shared" si="373"/>
        <v>0</v>
      </c>
      <c r="AK415" s="41">
        <f t="shared" si="374"/>
        <v>0</v>
      </c>
      <c r="AL415" s="42" t="s">
        <v>13</v>
      </c>
      <c r="AQ415" s="41">
        <f t="shared" si="375"/>
        <v>0</v>
      </c>
      <c r="AR415" s="41">
        <f t="shared" si="376"/>
        <v>0</v>
      </c>
      <c r="AS415" s="41">
        <f t="shared" si="377"/>
        <v>0</v>
      </c>
      <c r="AT415" s="44" t="s">
        <v>2439</v>
      </c>
      <c r="AU415" s="44" t="s">
        <v>2481</v>
      </c>
      <c r="AV415" s="31" t="s">
        <v>2486</v>
      </c>
      <c r="AX415" s="41">
        <f t="shared" si="378"/>
        <v>0</v>
      </c>
      <c r="AY415" s="41">
        <f t="shared" si="379"/>
        <v>0</v>
      </c>
      <c r="AZ415" s="41">
        <v>0</v>
      </c>
      <c r="BA415" s="41">
        <f t="shared" si="380"/>
        <v>0</v>
      </c>
      <c r="BC415" s="21">
        <f t="shared" si="381"/>
        <v>0</v>
      </c>
      <c r="BD415" s="21">
        <f t="shared" si="382"/>
        <v>0</v>
      </c>
      <c r="BE415" s="21">
        <f t="shared" si="383"/>
        <v>0</v>
      </c>
      <c r="BF415" s="21" t="s">
        <v>2492</v>
      </c>
      <c r="BG415" s="41">
        <v>731</v>
      </c>
    </row>
    <row r="416" spans="1:59" x14ac:dyDescent="0.3">
      <c r="A416" s="4" t="s">
        <v>399</v>
      </c>
      <c r="B416" s="13"/>
      <c r="C416" s="13" t="s">
        <v>1137</v>
      </c>
      <c r="D416" s="101" t="s">
        <v>1888</v>
      </c>
      <c r="E416" s="102"/>
      <c r="F416" s="13" t="s">
        <v>2386</v>
      </c>
      <c r="G416" s="21">
        <v>10</v>
      </c>
      <c r="H416" s="21">
        <v>0</v>
      </c>
      <c r="I416" s="21">
        <f t="shared" si="358"/>
        <v>0</v>
      </c>
      <c r="J416" s="21">
        <f t="shared" si="359"/>
        <v>0</v>
      </c>
      <c r="K416" s="21">
        <f t="shared" si="360"/>
        <v>0</v>
      </c>
      <c r="L416" s="21">
        <v>0</v>
      </c>
      <c r="M416" s="21">
        <f t="shared" si="361"/>
        <v>0</v>
      </c>
      <c r="N416" s="35"/>
      <c r="O416" s="39"/>
      <c r="U416" s="41">
        <f t="shared" si="362"/>
        <v>0</v>
      </c>
      <c r="W416" s="41">
        <f t="shared" si="363"/>
        <v>0</v>
      </c>
      <c r="X416" s="41">
        <f t="shared" si="364"/>
        <v>0</v>
      </c>
      <c r="Y416" s="41">
        <f t="shared" si="365"/>
        <v>0</v>
      </c>
      <c r="Z416" s="41">
        <f t="shared" si="366"/>
        <v>0</v>
      </c>
      <c r="AA416" s="41">
        <f t="shared" si="367"/>
        <v>0</v>
      </c>
      <c r="AB416" s="41">
        <f t="shared" si="368"/>
        <v>0</v>
      </c>
      <c r="AC416" s="41">
        <f t="shared" si="369"/>
        <v>0</v>
      </c>
      <c r="AD416" s="31"/>
      <c r="AE416" s="21">
        <f t="shared" si="370"/>
        <v>0</v>
      </c>
      <c r="AF416" s="21">
        <f t="shared" si="371"/>
        <v>0</v>
      </c>
      <c r="AG416" s="21">
        <f t="shared" si="372"/>
        <v>0</v>
      </c>
      <c r="AI416" s="41">
        <v>21</v>
      </c>
      <c r="AJ416" s="41">
        <f t="shared" si="373"/>
        <v>0</v>
      </c>
      <c r="AK416" s="41">
        <f t="shared" si="374"/>
        <v>0</v>
      </c>
      <c r="AL416" s="42" t="s">
        <v>13</v>
      </c>
      <c r="AQ416" s="41">
        <f t="shared" si="375"/>
        <v>0</v>
      </c>
      <c r="AR416" s="41">
        <f t="shared" si="376"/>
        <v>0</v>
      </c>
      <c r="AS416" s="41">
        <f t="shared" si="377"/>
        <v>0</v>
      </c>
      <c r="AT416" s="44" t="s">
        <v>2439</v>
      </c>
      <c r="AU416" s="44" t="s">
        <v>2481</v>
      </c>
      <c r="AV416" s="31" t="s">
        <v>2486</v>
      </c>
      <c r="AX416" s="41">
        <f t="shared" si="378"/>
        <v>0</v>
      </c>
      <c r="AY416" s="41">
        <f t="shared" si="379"/>
        <v>0</v>
      </c>
      <c r="AZ416" s="41">
        <v>0</v>
      </c>
      <c r="BA416" s="41">
        <f t="shared" si="380"/>
        <v>0</v>
      </c>
      <c r="BC416" s="21">
        <f t="shared" si="381"/>
        <v>0</v>
      </c>
      <c r="BD416" s="21">
        <f t="shared" si="382"/>
        <v>0</v>
      </c>
      <c r="BE416" s="21">
        <f t="shared" si="383"/>
        <v>0</v>
      </c>
      <c r="BF416" s="21" t="s">
        <v>2492</v>
      </c>
      <c r="BG416" s="41">
        <v>731</v>
      </c>
    </row>
    <row r="417" spans="1:59" x14ac:dyDescent="0.3">
      <c r="A417" s="4" t="s">
        <v>400</v>
      </c>
      <c r="B417" s="13"/>
      <c r="C417" s="13" t="s">
        <v>1137</v>
      </c>
      <c r="D417" s="101" t="s">
        <v>1889</v>
      </c>
      <c r="E417" s="102"/>
      <c r="F417" s="13" t="s">
        <v>2384</v>
      </c>
      <c r="G417" s="21">
        <v>10</v>
      </c>
      <c r="H417" s="21">
        <v>0</v>
      </c>
      <c r="I417" s="21">
        <f t="shared" si="358"/>
        <v>0</v>
      </c>
      <c r="J417" s="21">
        <f t="shared" si="359"/>
        <v>0</v>
      </c>
      <c r="K417" s="21">
        <f t="shared" si="360"/>
        <v>0</v>
      </c>
      <c r="L417" s="21">
        <v>0</v>
      </c>
      <c r="M417" s="21">
        <f t="shared" si="361"/>
        <v>0</v>
      </c>
      <c r="N417" s="35"/>
      <c r="O417" s="39"/>
      <c r="U417" s="41">
        <f t="shared" si="362"/>
        <v>0</v>
      </c>
      <c r="W417" s="41">
        <f t="shared" si="363"/>
        <v>0</v>
      </c>
      <c r="X417" s="41">
        <f t="shared" si="364"/>
        <v>0</v>
      </c>
      <c r="Y417" s="41">
        <f t="shared" si="365"/>
        <v>0</v>
      </c>
      <c r="Z417" s="41">
        <f t="shared" si="366"/>
        <v>0</v>
      </c>
      <c r="AA417" s="41">
        <f t="shared" si="367"/>
        <v>0</v>
      </c>
      <c r="AB417" s="41">
        <f t="shared" si="368"/>
        <v>0</v>
      </c>
      <c r="AC417" s="41">
        <f t="shared" si="369"/>
        <v>0</v>
      </c>
      <c r="AD417" s="31"/>
      <c r="AE417" s="21">
        <f t="shared" si="370"/>
        <v>0</v>
      </c>
      <c r="AF417" s="21">
        <f t="shared" si="371"/>
        <v>0</v>
      </c>
      <c r="AG417" s="21">
        <f t="shared" si="372"/>
        <v>0</v>
      </c>
      <c r="AI417" s="41">
        <v>21</v>
      </c>
      <c r="AJ417" s="41">
        <f t="shared" si="373"/>
        <v>0</v>
      </c>
      <c r="AK417" s="41">
        <f t="shared" si="374"/>
        <v>0</v>
      </c>
      <c r="AL417" s="42" t="s">
        <v>13</v>
      </c>
      <c r="AQ417" s="41">
        <f t="shared" si="375"/>
        <v>0</v>
      </c>
      <c r="AR417" s="41">
        <f t="shared" si="376"/>
        <v>0</v>
      </c>
      <c r="AS417" s="41">
        <f t="shared" si="377"/>
        <v>0</v>
      </c>
      <c r="AT417" s="44" t="s">
        <v>2439</v>
      </c>
      <c r="AU417" s="44" t="s">
        <v>2481</v>
      </c>
      <c r="AV417" s="31" t="s">
        <v>2486</v>
      </c>
      <c r="AX417" s="41">
        <f t="shared" si="378"/>
        <v>0</v>
      </c>
      <c r="AY417" s="41">
        <f t="shared" si="379"/>
        <v>0</v>
      </c>
      <c r="AZ417" s="41">
        <v>0</v>
      </c>
      <c r="BA417" s="41">
        <f t="shared" si="380"/>
        <v>0</v>
      </c>
      <c r="BC417" s="21">
        <f t="shared" si="381"/>
        <v>0</v>
      </c>
      <c r="BD417" s="21">
        <f t="shared" si="382"/>
        <v>0</v>
      </c>
      <c r="BE417" s="21">
        <f t="shared" si="383"/>
        <v>0</v>
      </c>
      <c r="BF417" s="21" t="s">
        <v>2492</v>
      </c>
      <c r="BG417" s="41">
        <v>731</v>
      </c>
    </row>
    <row r="418" spans="1:59" x14ac:dyDescent="0.3">
      <c r="A418" s="4" t="s">
        <v>401</v>
      </c>
      <c r="B418" s="13"/>
      <c r="C418" s="13" t="s">
        <v>1137</v>
      </c>
      <c r="D418" s="101" t="s">
        <v>1890</v>
      </c>
      <c r="E418" s="102"/>
      <c r="F418" s="13" t="s">
        <v>2384</v>
      </c>
      <c r="G418" s="21">
        <v>54</v>
      </c>
      <c r="H418" s="21">
        <v>0</v>
      </c>
      <c r="I418" s="21">
        <f t="shared" si="358"/>
        <v>0</v>
      </c>
      <c r="J418" s="21">
        <f t="shared" si="359"/>
        <v>0</v>
      </c>
      <c r="K418" s="21">
        <f t="shared" si="360"/>
        <v>0</v>
      </c>
      <c r="L418" s="21">
        <v>0</v>
      </c>
      <c r="M418" s="21">
        <f t="shared" si="361"/>
        <v>0</v>
      </c>
      <c r="N418" s="35"/>
      <c r="O418" s="39"/>
      <c r="U418" s="41">
        <f t="shared" si="362"/>
        <v>0</v>
      </c>
      <c r="W418" s="41">
        <f t="shared" si="363"/>
        <v>0</v>
      </c>
      <c r="X418" s="41">
        <f t="shared" si="364"/>
        <v>0</v>
      </c>
      <c r="Y418" s="41">
        <f t="shared" si="365"/>
        <v>0</v>
      </c>
      <c r="Z418" s="41">
        <f t="shared" si="366"/>
        <v>0</v>
      </c>
      <c r="AA418" s="41">
        <f t="shared" si="367"/>
        <v>0</v>
      </c>
      <c r="AB418" s="41">
        <f t="shared" si="368"/>
        <v>0</v>
      </c>
      <c r="AC418" s="41">
        <f t="shared" si="369"/>
        <v>0</v>
      </c>
      <c r="AD418" s="31"/>
      <c r="AE418" s="21">
        <f t="shared" si="370"/>
        <v>0</v>
      </c>
      <c r="AF418" s="21">
        <f t="shared" si="371"/>
        <v>0</v>
      </c>
      <c r="AG418" s="21">
        <f t="shared" si="372"/>
        <v>0</v>
      </c>
      <c r="AI418" s="41">
        <v>21</v>
      </c>
      <c r="AJ418" s="41">
        <f t="shared" si="373"/>
        <v>0</v>
      </c>
      <c r="AK418" s="41">
        <f t="shared" si="374"/>
        <v>0</v>
      </c>
      <c r="AL418" s="42" t="s">
        <v>13</v>
      </c>
      <c r="AQ418" s="41">
        <f t="shared" si="375"/>
        <v>0</v>
      </c>
      <c r="AR418" s="41">
        <f t="shared" si="376"/>
        <v>0</v>
      </c>
      <c r="AS418" s="41">
        <f t="shared" si="377"/>
        <v>0</v>
      </c>
      <c r="AT418" s="44" t="s">
        <v>2439</v>
      </c>
      <c r="AU418" s="44" t="s">
        <v>2481</v>
      </c>
      <c r="AV418" s="31" t="s">
        <v>2486</v>
      </c>
      <c r="AX418" s="41">
        <f t="shared" si="378"/>
        <v>0</v>
      </c>
      <c r="AY418" s="41">
        <f t="shared" si="379"/>
        <v>0</v>
      </c>
      <c r="AZ418" s="41">
        <v>0</v>
      </c>
      <c r="BA418" s="41">
        <f t="shared" si="380"/>
        <v>0</v>
      </c>
      <c r="BC418" s="21">
        <f t="shared" si="381"/>
        <v>0</v>
      </c>
      <c r="BD418" s="21">
        <f t="shared" si="382"/>
        <v>0</v>
      </c>
      <c r="BE418" s="21">
        <f t="shared" si="383"/>
        <v>0</v>
      </c>
      <c r="BF418" s="21" t="s">
        <v>2492</v>
      </c>
      <c r="BG418" s="41">
        <v>731</v>
      </c>
    </row>
    <row r="419" spans="1:59" x14ac:dyDescent="0.3">
      <c r="A419" s="4" t="s">
        <v>402</v>
      </c>
      <c r="B419" s="13"/>
      <c r="C419" s="13" t="s">
        <v>1137</v>
      </c>
      <c r="D419" s="101" t="s">
        <v>1890</v>
      </c>
      <c r="E419" s="102"/>
      <c r="F419" s="13" t="s">
        <v>2384</v>
      </c>
      <c r="G419" s="21">
        <v>2</v>
      </c>
      <c r="H419" s="21">
        <v>0</v>
      </c>
      <c r="I419" s="21">
        <f t="shared" si="358"/>
        <v>0</v>
      </c>
      <c r="J419" s="21">
        <f t="shared" si="359"/>
        <v>0</v>
      </c>
      <c r="K419" s="21">
        <f t="shared" si="360"/>
        <v>0</v>
      </c>
      <c r="L419" s="21">
        <v>0</v>
      </c>
      <c r="M419" s="21">
        <f t="shared" si="361"/>
        <v>0</v>
      </c>
      <c r="N419" s="35"/>
      <c r="O419" s="39"/>
      <c r="U419" s="41">
        <f t="shared" si="362"/>
        <v>0</v>
      </c>
      <c r="W419" s="41">
        <f t="shared" si="363"/>
        <v>0</v>
      </c>
      <c r="X419" s="41">
        <f t="shared" si="364"/>
        <v>0</v>
      </c>
      <c r="Y419" s="41">
        <f t="shared" si="365"/>
        <v>0</v>
      </c>
      <c r="Z419" s="41">
        <f t="shared" si="366"/>
        <v>0</v>
      </c>
      <c r="AA419" s="41">
        <f t="shared" si="367"/>
        <v>0</v>
      </c>
      <c r="AB419" s="41">
        <f t="shared" si="368"/>
        <v>0</v>
      </c>
      <c r="AC419" s="41">
        <f t="shared" si="369"/>
        <v>0</v>
      </c>
      <c r="AD419" s="31"/>
      <c r="AE419" s="21">
        <f t="shared" si="370"/>
        <v>0</v>
      </c>
      <c r="AF419" s="21">
        <f t="shared" si="371"/>
        <v>0</v>
      </c>
      <c r="AG419" s="21">
        <f t="shared" si="372"/>
        <v>0</v>
      </c>
      <c r="AI419" s="41">
        <v>21</v>
      </c>
      <c r="AJ419" s="41">
        <f t="shared" si="373"/>
        <v>0</v>
      </c>
      <c r="AK419" s="41">
        <f t="shared" si="374"/>
        <v>0</v>
      </c>
      <c r="AL419" s="42" t="s">
        <v>13</v>
      </c>
      <c r="AQ419" s="41">
        <f t="shared" si="375"/>
        <v>0</v>
      </c>
      <c r="AR419" s="41">
        <f t="shared" si="376"/>
        <v>0</v>
      </c>
      <c r="AS419" s="41">
        <f t="shared" si="377"/>
        <v>0</v>
      </c>
      <c r="AT419" s="44" t="s">
        <v>2439</v>
      </c>
      <c r="AU419" s="44" t="s">
        <v>2481</v>
      </c>
      <c r="AV419" s="31" t="s">
        <v>2486</v>
      </c>
      <c r="AX419" s="41">
        <f t="shared" si="378"/>
        <v>0</v>
      </c>
      <c r="AY419" s="41">
        <f t="shared" si="379"/>
        <v>0</v>
      </c>
      <c r="AZ419" s="41">
        <v>0</v>
      </c>
      <c r="BA419" s="41">
        <f t="shared" si="380"/>
        <v>0</v>
      </c>
      <c r="BC419" s="21">
        <f t="shared" si="381"/>
        <v>0</v>
      </c>
      <c r="BD419" s="21">
        <f t="shared" si="382"/>
        <v>0</v>
      </c>
      <c r="BE419" s="21">
        <f t="shared" si="383"/>
        <v>0</v>
      </c>
      <c r="BF419" s="21" t="s">
        <v>2492</v>
      </c>
      <c r="BG419" s="41">
        <v>731</v>
      </c>
    </row>
    <row r="420" spans="1:59" x14ac:dyDescent="0.3">
      <c r="A420" s="4" t="s">
        <v>403</v>
      </c>
      <c r="B420" s="13"/>
      <c r="C420" s="13" t="s">
        <v>1137</v>
      </c>
      <c r="D420" s="101" t="s">
        <v>1875</v>
      </c>
      <c r="E420" s="102"/>
      <c r="F420" s="13" t="s">
        <v>2386</v>
      </c>
      <c r="G420" s="21">
        <v>28</v>
      </c>
      <c r="H420" s="21">
        <v>0</v>
      </c>
      <c r="I420" s="21">
        <f t="shared" si="358"/>
        <v>0</v>
      </c>
      <c r="J420" s="21">
        <f t="shared" si="359"/>
        <v>0</v>
      </c>
      <c r="K420" s="21">
        <f t="shared" si="360"/>
        <v>0</v>
      </c>
      <c r="L420" s="21">
        <v>0</v>
      </c>
      <c r="M420" s="21">
        <f t="shared" si="361"/>
        <v>0</v>
      </c>
      <c r="N420" s="35"/>
      <c r="O420" s="39"/>
      <c r="U420" s="41">
        <f t="shared" si="362"/>
        <v>0</v>
      </c>
      <c r="W420" s="41">
        <f t="shared" si="363"/>
        <v>0</v>
      </c>
      <c r="X420" s="41">
        <f t="shared" si="364"/>
        <v>0</v>
      </c>
      <c r="Y420" s="41">
        <f t="shared" si="365"/>
        <v>0</v>
      </c>
      <c r="Z420" s="41">
        <f t="shared" si="366"/>
        <v>0</v>
      </c>
      <c r="AA420" s="41">
        <f t="shared" si="367"/>
        <v>0</v>
      </c>
      <c r="AB420" s="41">
        <f t="shared" si="368"/>
        <v>0</v>
      </c>
      <c r="AC420" s="41">
        <f t="shared" si="369"/>
        <v>0</v>
      </c>
      <c r="AD420" s="31"/>
      <c r="AE420" s="21">
        <f t="shared" si="370"/>
        <v>0</v>
      </c>
      <c r="AF420" s="21">
        <f t="shared" si="371"/>
        <v>0</v>
      </c>
      <c r="AG420" s="21">
        <f t="shared" si="372"/>
        <v>0</v>
      </c>
      <c r="AI420" s="41">
        <v>21</v>
      </c>
      <c r="AJ420" s="41">
        <f t="shared" si="373"/>
        <v>0</v>
      </c>
      <c r="AK420" s="41">
        <f t="shared" si="374"/>
        <v>0</v>
      </c>
      <c r="AL420" s="42" t="s">
        <v>13</v>
      </c>
      <c r="AQ420" s="41">
        <f t="shared" si="375"/>
        <v>0</v>
      </c>
      <c r="AR420" s="41">
        <f t="shared" si="376"/>
        <v>0</v>
      </c>
      <c r="AS420" s="41">
        <f t="shared" si="377"/>
        <v>0</v>
      </c>
      <c r="AT420" s="44" t="s">
        <v>2439</v>
      </c>
      <c r="AU420" s="44" t="s">
        <v>2481</v>
      </c>
      <c r="AV420" s="31" t="s">
        <v>2486</v>
      </c>
      <c r="AX420" s="41">
        <f t="shared" si="378"/>
        <v>0</v>
      </c>
      <c r="AY420" s="41">
        <f t="shared" si="379"/>
        <v>0</v>
      </c>
      <c r="AZ420" s="41">
        <v>0</v>
      </c>
      <c r="BA420" s="41">
        <f t="shared" si="380"/>
        <v>0</v>
      </c>
      <c r="BC420" s="21">
        <f t="shared" si="381"/>
        <v>0</v>
      </c>
      <c r="BD420" s="21">
        <f t="shared" si="382"/>
        <v>0</v>
      </c>
      <c r="BE420" s="21">
        <f t="shared" si="383"/>
        <v>0</v>
      </c>
      <c r="BF420" s="21" t="s">
        <v>2492</v>
      </c>
      <c r="BG420" s="41">
        <v>731</v>
      </c>
    </row>
    <row r="421" spans="1:59" x14ac:dyDescent="0.3">
      <c r="A421" s="4" t="s">
        <v>404</v>
      </c>
      <c r="B421" s="13"/>
      <c r="C421" s="13" t="s">
        <v>1137</v>
      </c>
      <c r="D421" s="101" t="s">
        <v>1877</v>
      </c>
      <c r="E421" s="102"/>
      <c r="F421" s="13" t="s">
        <v>2384</v>
      </c>
      <c r="G421" s="21">
        <v>28</v>
      </c>
      <c r="H421" s="21">
        <v>0</v>
      </c>
      <c r="I421" s="21">
        <f t="shared" si="358"/>
        <v>0</v>
      </c>
      <c r="J421" s="21">
        <f t="shared" si="359"/>
        <v>0</v>
      </c>
      <c r="K421" s="21">
        <f t="shared" si="360"/>
        <v>0</v>
      </c>
      <c r="L421" s="21">
        <v>0</v>
      </c>
      <c r="M421" s="21">
        <f t="shared" si="361"/>
        <v>0</v>
      </c>
      <c r="N421" s="35"/>
      <c r="O421" s="39"/>
      <c r="U421" s="41">
        <f t="shared" si="362"/>
        <v>0</v>
      </c>
      <c r="W421" s="41">
        <f t="shared" si="363"/>
        <v>0</v>
      </c>
      <c r="X421" s="41">
        <f t="shared" si="364"/>
        <v>0</v>
      </c>
      <c r="Y421" s="41">
        <f t="shared" si="365"/>
        <v>0</v>
      </c>
      <c r="Z421" s="41">
        <f t="shared" si="366"/>
        <v>0</v>
      </c>
      <c r="AA421" s="41">
        <f t="shared" si="367"/>
        <v>0</v>
      </c>
      <c r="AB421" s="41">
        <f t="shared" si="368"/>
        <v>0</v>
      </c>
      <c r="AC421" s="41">
        <f t="shared" si="369"/>
        <v>0</v>
      </c>
      <c r="AD421" s="31"/>
      <c r="AE421" s="21">
        <f t="shared" si="370"/>
        <v>0</v>
      </c>
      <c r="AF421" s="21">
        <f t="shared" si="371"/>
        <v>0</v>
      </c>
      <c r="AG421" s="21">
        <f t="shared" si="372"/>
        <v>0</v>
      </c>
      <c r="AI421" s="41">
        <v>21</v>
      </c>
      <c r="AJ421" s="41">
        <f t="shared" si="373"/>
        <v>0</v>
      </c>
      <c r="AK421" s="41">
        <f t="shared" si="374"/>
        <v>0</v>
      </c>
      <c r="AL421" s="42" t="s">
        <v>13</v>
      </c>
      <c r="AQ421" s="41">
        <f t="shared" si="375"/>
        <v>0</v>
      </c>
      <c r="AR421" s="41">
        <f t="shared" si="376"/>
        <v>0</v>
      </c>
      <c r="AS421" s="41">
        <f t="shared" si="377"/>
        <v>0</v>
      </c>
      <c r="AT421" s="44" t="s">
        <v>2439</v>
      </c>
      <c r="AU421" s="44" t="s">
        <v>2481</v>
      </c>
      <c r="AV421" s="31" t="s">
        <v>2486</v>
      </c>
      <c r="AX421" s="41">
        <f t="shared" si="378"/>
        <v>0</v>
      </c>
      <c r="AY421" s="41">
        <f t="shared" si="379"/>
        <v>0</v>
      </c>
      <c r="AZ421" s="41">
        <v>0</v>
      </c>
      <c r="BA421" s="41">
        <f t="shared" si="380"/>
        <v>0</v>
      </c>
      <c r="BC421" s="21">
        <f t="shared" si="381"/>
        <v>0</v>
      </c>
      <c r="BD421" s="21">
        <f t="shared" si="382"/>
        <v>0</v>
      </c>
      <c r="BE421" s="21">
        <f t="shared" si="383"/>
        <v>0</v>
      </c>
      <c r="BF421" s="21" t="s">
        <v>2492</v>
      </c>
      <c r="BG421" s="41">
        <v>731</v>
      </c>
    </row>
    <row r="422" spans="1:59" x14ac:dyDescent="0.3">
      <c r="A422" s="4" t="s">
        <v>405</v>
      </c>
      <c r="B422" s="13"/>
      <c r="C422" s="13" t="s">
        <v>1137</v>
      </c>
      <c r="D422" s="101" t="s">
        <v>1879</v>
      </c>
      <c r="E422" s="102"/>
      <c r="F422" s="13" t="s">
        <v>2384</v>
      </c>
      <c r="G422" s="21">
        <v>28</v>
      </c>
      <c r="H422" s="21">
        <v>0</v>
      </c>
      <c r="I422" s="21">
        <f t="shared" si="358"/>
        <v>0</v>
      </c>
      <c r="J422" s="21">
        <f t="shared" si="359"/>
        <v>0</v>
      </c>
      <c r="K422" s="21">
        <f t="shared" si="360"/>
        <v>0</v>
      </c>
      <c r="L422" s="21">
        <v>0</v>
      </c>
      <c r="M422" s="21">
        <f t="shared" si="361"/>
        <v>0</v>
      </c>
      <c r="N422" s="35"/>
      <c r="O422" s="39"/>
      <c r="U422" s="41">
        <f t="shared" si="362"/>
        <v>0</v>
      </c>
      <c r="W422" s="41">
        <f t="shared" si="363"/>
        <v>0</v>
      </c>
      <c r="X422" s="41">
        <f t="shared" si="364"/>
        <v>0</v>
      </c>
      <c r="Y422" s="41">
        <f t="shared" si="365"/>
        <v>0</v>
      </c>
      <c r="Z422" s="41">
        <f t="shared" si="366"/>
        <v>0</v>
      </c>
      <c r="AA422" s="41">
        <f t="shared" si="367"/>
        <v>0</v>
      </c>
      <c r="AB422" s="41">
        <f t="shared" si="368"/>
        <v>0</v>
      </c>
      <c r="AC422" s="41">
        <f t="shared" si="369"/>
        <v>0</v>
      </c>
      <c r="AD422" s="31"/>
      <c r="AE422" s="21">
        <f t="shared" si="370"/>
        <v>0</v>
      </c>
      <c r="AF422" s="21">
        <f t="shared" si="371"/>
        <v>0</v>
      </c>
      <c r="AG422" s="21">
        <f t="shared" si="372"/>
        <v>0</v>
      </c>
      <c r="AI422" s="41">
        <v>21</v>
      </c>
      <c r="AJ422" s="41">
        <f t="shared" si="373"/>
        <v>0</v>
      </c>
      <c r="AK422" s="41">
        <f t="shared" si="374"/>
        <v>0</v>
      </c>
      <c r="AL422" s="42" t="s">
        <v>13</v>
      </c>
      <c r="AQ422" s="41">
        <f t="shared" si="375"/>
        <v>0</v>
      </c>
      <c r="AR422" s="41">
        <f t="shared" si="376"/>
        <v>0</v>
      </c>
      <c r="AS422" s="41">
        <f t="shared" si="377"/>
        <v>0</v>
      </c>
      <c r="AT422" s="44" t="s">
        <v>2439</v>
      </c>
      <c r="AU422" s="44" t="s">
        <v>2481</v>
      </c>
      <c r="AV422" s="31" t="s">
        <v>2486</v>
      </c>
      <c r="AX422" s="41">
        <f t="shared" si="378"/>
        <v>0</v>
      </c>
      <c r="AY422" s="41">
        <f t="shared" si="379"/>
        <v>0</v>
      </c>
      <c r="AZ422" s="41">
        <v>0</v>
      </c>
      <c r="BA422" s="41">
        <f t="shared" si="380"/>
        <v>0</v>
      </c>
      <c r="BC422" s="21">
        <f t="shared" si="381"/>
        <v>0</v>
      </c>
      <c r="BD422" s="21">
        <f t="shared" si="382"/>
        <v>0</v>
      </c>
      <c r="BE422" s="21">
        <f t="shared" si="383"/>
        <v>0</v>
      </c>
      <c r="BF422" s="21" t="s">
        <v>2492</v>
      </c>
      <c r="BG422" s="41">
        <v>731</v>
      </c>
    </row>
    <row r="423" spans="1:59" x14ac:dyDescent="0.3">
      <c r="A423" s="4" t="s">
        <v>406</v>
      </c>
      <c r="B423" s="13"/>
      <c r="C423" s="13" t="s">
        <v>1137</v>
      </c>
      <c r="D423" s="101" t="s">
        <v>1880</v>
      </c>
      <c r="E423" s="102"/>
      <c r="F423" s="13" t="s">
        <v>2384</v>
      </c>
      <c r="G423" s="21">
        <v>56</v>
      </c>
      <c r="H423" s="21">
        <v>0</v>
      </c>
      <c r="I423" s="21">
        <f t="shared" si="358"/>
        <v>0</v>
      </c>
      <c r="J423" s="21">
        <f t="shared" si="359"/>
        <v>0</v>
      </c>
      <c r="K423" s="21">
        <f t="shared" si="360"/>
        <v>0</v>
      </c>
      <c r="L423" s="21">
        <v>0</v>
      </c>
      <c r="M423" s="21">
        <f t="shared" si="361"/>
        <v>0</v>
      </c>
      <c r="N423" s="35"/>
      <c r="O423" s="39"/>
      <c r="U423" s="41">
        <f t="shared" si="362"/>
        <v>0</v>
      </c>
      <c r="W423" s="41">
        <f t="shared" si="363"/>
        <v>0</v>
      </c>
      <c r="X423" s="41">
        <f t="shared" si="364"/>
        <v>0</v>
      </c>
      <c r="Y423" s="41">
        <f t="shared" si="365"/>
        <v>0</v>
      </c>
      <c r="Z423" s="41">
        <f t="shared" si="366"/>
        <v>0</v>
      </c>
      <c r="AA423" s="41">
        <f t="shared" si="367"/>
        <v>0</v>
      </c>
      <c r="AB423" s="41">
        <f t="shared" si="368"/>
        <v>0</v>
      </c>
      <c r="AC423" s="41">
        <f t="shared" si="369"/>
        <v>0</v>
      </c>
      <c r="AD423" s="31"/>
      <c r="AE423" s="21">
        <f t="shared" si="370"/>
        <v>0</v>
      </c>
      <c r="AF423" s="21">
        <f t="shared" si="371"/>
        <v>0</v>
      </c>
      <c r="AG423" s="21">
        <f t="shared" si="372"/>
        <v>0</v>
      </c>
      <c r="AI423" s="41">
        <v>21</v>
      </c>
      <c r="AJ423" s="41">
        <f t="shared" si="373"/>
        <v>0</v>
      </c>
      <c r="AK423" s="41">
        <f t="shared" si="374"/>
        <v>0</v>
      </c>
      <c r="AL423" s="42" t="s">
        <v>13</v>
      </c>
      <c r="AQ423" s="41">
        <f t="shared" si="375"/>
        <v>0</v>
      </c>
      <c r="AR423" s="41">
        <f t="shared" si="376"/>
        <v>0</v>
      </c>
      <c r="AS423" s="41">
        <f t="shared" si="377"/>
        <v>0</v>
      </c>
      <c r="AT423" s="44" t="s">
        <v>2439</v>
      </c>
      <c r="AU423" s="44" t="s">
        <v>2481</v>
      </c>
      <c r="AV423" s="31" t="s">
        <v>2486</v>
      </c>
      <c r="AX423" s="41">
        <f t="shared" si="378"/>
        <v>0</v>
      </c>
      <c r="AY423" s="41">
        <f t="shared" si="379"/>
        <v>0</v>
      </c>
      <c r="AZ423" s="41">
        <v>0</v>
      </c>
      <c r="BA423" s="41">
        <f t="shared" si="380"/>
        <v>0</v>
      </c>
      <c r="BC423" s="21">
        <f t="shared" si="381"/>
        <v>0</v>
      </c>
      <c r="BD423" s="21">
        <f t="shared" si="382"/>
        <v>0</v>
      </c>
      <c r="BE423" s="21">
        <f t="shared" si="383"/>
        <v>0</v>
      </c>
      <c r="BF423" s="21" t="s">
        <v>2492</v>
      </c>
      <c r="BG423" s="41">
        <v>731</v>
      </c>
    </row>
    <row r="424" spans="1:59" x14ac:dyDescent="0.3">
      <c r="A424" s="4" t="s">
        <v>407</v>
      </c>
      <c r="B424" s="13"/>
      <c r="C424" s="13" t="s">
        <v>1137</v>
      </c>
      <c r="D424" s="101" t="s">
        <v>1878</v>
      </c>
      <c r="E424" s="102"/>
      <c r="F424" s="13" t="s">
        <v>2385</v>
      </c>
      <c r="G424" s="21">
        <v>26</v>
      </c>
      <c r="H424" s="21">
        <v>0</v>
      </c>
      <c r="I424" s="21">
        <f t="shared" si="358"/>
        <v>0</v>
      </c>
      <c r="J424" s="21">
        <f t="shared" si="359"/>
        <v>0</v>
      </c>
      <c r="K424" s="21">
        <f t="shared" si="360"/>
        <v>0</v>
      </c>
      <c r="L424" s="21">
        <v>0</v>
      </c>
      <c r="M424" s="21">
        <f t="shared" si="361"/>
        <v>0</v>
      </c>
      <c r="N424" s="35"/>
      <c r="O424" s="39"/>
      <c r="U424" s="41">
        <f t="shared" si="362"/>
        <v>0</v>
      </c>
      <c r="W424" s="41">
        <f t="shared" si="363"/>
        <v>0</v>
      </c>
      <c r="X424" s="41">
        <f t="shared" si="364"/>
        <v>0</v>
      </c>
      <c r="Y424" s="41">
        <f t="shared" si="365"/>
        <v>0</v>
      </c>
      <c r="Z424" s="41">
        <f t="shared" si="366"/>
        <v>0</v>
      </c>
      <c r="AA424" s="41">
        <f t="shared" si="367"/>
        <v>0</v>
      </c>
      <c r="AB424" s="41">
        <f t="shared" si="368"/>
        <v>0</v>
      </c>
      <c r="AC424" s="41">
        <f t="shared" si="369"/>
        <v>0</v>
      </c>
      <c r="AD424" s="31"/>
      <c r="AE424" s="21">
        <f t="shared" si="370"/>
        <v>0</v>
      </c>
      <c r="AF424" s="21">
        <f t="shared" si="371"/>
        <v>0</v>
      </c>
      <c r="AG424" s="21">
        <f t="shared" si="372"/>
        <v>0</v>
      </c>
      <c r="AI424" s="41">
        <v>21</v>
      </c>
      <c r="AJ424" s="41">
        <f t="shared" si="373"/>
        <v>0</v>
      </c>
      <c r="AK424" s="41">
        <f t="shared" si="374"/>
        <v>0</v>
      </c>
      <c r="AL424" s="42" t="s">
        <v>13</v>
      </c>
      <c r="AQ424" s="41">
        <f t="shared" si="375"/>
        <v>0</v>
      </c>
      <c r="AR424" s="41">
        <f t="shared" si="376"/>
        <v>0</v>
      </c>
      <c r="AS424" s="41">
        <f t="shared" si="377"/>
        <v>0</v>
      </c>
      <c r="AT424" s="44" t="s">
        <v>2439</v>
      </c>
      <c r="AU424" s="44" t="s">
        <v>2481</v>
      </c>
      <c r="AV424" s="31" t="s">
        <v>2486</v>
      </c>
      <c r="AX424" s="41">
        <f t="shared" si="378"/>
        <v>0</v>
      </c>
      <c r="AY424" s="41">
        <f t="shared" si="379"/>
        <v>0</v>
      </c>
      <c r="AZ424" s="41">
        <v>0</v>
      </c>
      <c r="BA424" s="41">
        <f t="shared" si="380"/>
        <v>0</v>
      </c>
      <c r="BC424" s="21">
        <f t="shared" si="381"/>
        <v>0</v>
      </c>
      <c r="BD424" s="21">
        <f t="shared" si="382"/>
        <v>0</v>
      </c>
      <c r="BE424" s="21">
        <f t="shared" si="383"/>
        <v>0</v>
      </c>
      <c r="BF424" s="21" t="s">
        <v>2492</v>
      </c>
      <c r="BG424" s="41">
        <v>731</v>
      </c>
    </row>
    <row r="425" spans="1:59" x14ac:dyDescent="0.3">
      <c r="A425" s="4" t="s">
        <v>408</v>
      </c>
      <c r="B425" s="13"/>
      <c r="C425" s="13" t="s">
        <v>1137</v>
      </c>
      <c r="D425" s="101" t="s">
        <v>1878</v>
      </c>
      <c r="E425" s="102"/>
      <c r="F425" s="13" t="s">
        <v>2385</v>
      </c>
      <c r="G425" s="21">
        <v>31</v>
      </c>
      <c r="H425" s="21">
        <v>0</v>
      </c>
      <c r="I425" s="21">
        <f t="shared" si="358"/>
        <v>0</v>
      </c>
      <c r="J425" s="21">
        <f t="shared" si="359"/>
        <v>0</v>
      </c>
      <c r="K425" s="21">
        <f t="shared" si="360"/>
        <v>0</v>
      </c>
      <c r="L425" s="21">
        <v>0</v>
      </c>
      <c r="M425" s="21">
        <f t="shared" si="361"/>
        <v>0</v>
      </c>
      <c r="N425" s="35"/>
      <c r="O425" s="39"/>
      <c r="U425" s="41">
        <f t="shared" si="362"/>
        <v>0</v>
      </c>
      <c r="W425" s="41">
        <f t="shared" si="363"/>
        <v>0</v>
      </c>
      <c r="X425" s="41">
        <f t="shared" si="364"/>
        <v>0</v>
      </c>
      <c r="Y425" s="41">
        <f t="shared" si="365"/>
        <v>0</v>
      </c>
      <c r="Z425" s="41">
        <f t="shared" si="366"/>
        <v>0</v>
      </c>
      <c r="AA425" s="41">
        <f t="shared" si="367"/>
        <v>0</v>
      </c>
      <c r="AB425" s="41">
        <f t="shared" si="368"/>
        <v>0</v>
      </c>
      <c r="AC425" s="41">
        <f t="shared" si="369"/>
        <v>0</v>
      </c>
      <c r="AD425" s="31"/>
      <c r="AE425" s="21">
        <f t="shared" si="370"/>
        <v>0</v>
      </c>
      <c r="AF425" s="21">
        <f t="shared" si="371"/>
        <v>0</v>
      </c>
      <c r="AG425" s="21">
        <f t="shared" si="372"/>
        <v>0</v>
      </c>
      <c r="AI425" s="41">
        <v>21</v>
      </c>
      <c r="AJ425" s="41">
        <f t="shared" si="373"/>
        <v>0</v>
      </c>
      <c r="AK425" s="41">
        <f t="shared" si="374"/>
        <v>0</v>
      </c>
      <c r="AL425" s="42" t="s">
        <v>13</v>
      </c>
      <c r="AQ425" s="41">
        <f t="shared" si="375"/>
        <v>0</v>
      </c>
      <c r="AR425" s="41">
        <f t="shared" si="376"/>
        <v>0</v>
      </c>
      <c r="AS425" s="41">
        <f t="shared" si="377"/>
        <v>0</v>
      </c>
      <c r="AT425" s="44" t="s">
        <v>2439</v>
      </c>
      <c r="AU425" s="44" t="s">
        <v>2481</v>
      </c>
      <c r="AV425" s="31" t="s">
        <v>2486</v>
      </c>
      <c r="AX425" s="41">
        <f t="shared" si="378"/>
        <v>0</v>
      </c>
      <c r="AY425" s="41">
        <f t="shared" si="379"/>
        <v>0</v>
      </c>
      <c r="AZ425" s="41">
        <v>0</v>
      </c>
      <c r="BA425" s="41">
        <f t="shared" si="380"/>
        <v>0</v>
      </c>
      <c r="BC425" s="21">
        <f t="shared" si="381"/>
        <v>0</v>
      </c>
      <c r="BD425" s="21">
        <f t="shared" si="382"/>
        <v>0</v>
      </c>
      <c r="BE425" s="21">
        <f t="shared" si="383"/>
        <v>0</v>
      </c>
      <c r="BF425" s="21" t="s">
        <v>2492</v>
      </c>
      <c r="BG425" s="41">
        <v>731</v>
      </c>
    </row>
    <row r="426" spans="1:59" x14ac:dyDescent="0.3">
      <c r="A426" s="4" t="s">
        <v>409</v>
      </c>
      <c r="B426" s="13"/>
      <c r="C426" s="13" t="s">
        <v>1137</v>
      </c>
      <c r="D426" s="101" t="s">
        <v>1881</v>
      </c>
      <c r="E426" s="102"/>
      <c r="F426" s="13" t="s">
        <v>2385</v>
      </c>
      <c r="G426" s="21">
        <v>26</v>
      </c>
      <c r="H426" s="21">
        <v>0</v>
      </c>
      <c r="I426" s="21">
        <f t="shared" si="358"/>
        <v>0</v>
      </c>
      <c r="J426" s="21">
        <f t="shared" si="359"/>
        <v>0</v>
      </c>
      <c r="K426" s="21">
        <f t="shared" si="360"/>
        <v>0</v>
      </c>
      <c r="L426" s="21">
        <v>0</v>
      </c>
      <c r="M426" s="21">
        <f t="shared" si="361"/>
        <v>0</v>
      </c>
      <c r="N426" s="35"/>
      <c r="O426" s="39"/>
      <c r="U426" s="41">
        <f t="shared" si="362"/>
        <v>0</v>
      </c>
      <c r="W426" s="41">
        <f t="shared" si="363"/>
        <v>0</v>
      </c>
      <c r="X426" s="41">
        <f t="shared" si="364"/>
        <v>0</v>
      </c>
      <c r="Y426" s="41">
        <f t="shared" si="365"/>
        <v>0</v>
      </c>
      <c r="Z426" s="41">
        <f t="shared" si="366"/>
        <v>0</v>
      </c>
      <c r="AA426" s="41">
        <f t="shared" si="367"/>
        <v>0</v>
      </c>
      <c r="AB426" s="41">
        <f t="shared" si="368"/>
        <v>0</v>
      </c>
      <c r="AC426" s="41">
        <f t="shared" si="369"/>
        <v>0</v>
      </c>
      <c r="AD426" s="31"/>
      <c r="AE426" s="21">
        <f t="shared" si="370"/>
        <v>0</v>
      </c>
      <c r="AF426" s="21">
        <f t="shared" si="371"/>
        <v>0</v>
      </c>
      <c r="AG426" s="21">
        <f t="shared" si="372"/>
        <v>0</v>
      </c>
      <c r="AI426" s="41">
        <v>21</v>
      </c>
      <c r="AJ426" s="41">
        <f t="shared" si="373"/>
        <v>0</v>
      </c>
      <c r="AK426" s="41">
        <f t="shared" si="374"/>
        <v>0</v>
      </c>
      <c r="AL426" s="42" t="s">
        <v>13</v>
      </c>
      <c r="AQ426" s="41">
        <f t="shared" si="375"/>
        <v>0</v>
      </c>
      <c r="AR426" s="41">
        <f t="shared" si="376"/>
        <v>0</v>
      </c>
      <c r="AS426" s="41">
        <f t="shared" si="377"/>
        <v>0</v>
      </c>
      <c r="AT426" s="44" t="s">
        <v>2439</v>
      </c>
      <c r="AU426" s="44" t="s">
        <v>2481</v>
      </c>
      <c r="AV426" s="31" t="s">
        <v>2486</v>
      </c>
      <c r="AX426" s="41">
        <f t="shared" si="378"/>
        <v>0</v>
      </c>
      <c r="AY426" s="41">
        <f t="shared" si="379"/>
        <v>0</v>
      </c>
      <c r="AZ426" s="41">
        <v>0</v>
      </c>
      <c r="BA426" s="41">
        <f t="shared" si="380"/>
        <v>0</v>
      </c>
      <c r="BC426" s="21">
        <f t="shared" si="381"/>
        <v>0</v>
      </c>
      <c r="BD426" s="21">
        <f t="shared" si="382"/>
        <v>0</v>
      </c>
      <c r="BE426" s="21">
        <f t="shared" si="383"/>
        <v>0</v>
      </c>
      <c r="BF426" s="21" t="s">
        <v>2492</v>
      </c>
      <c r="BG426" s="41">
        <v>731</v>
      </c>
    </row>
    <row r="427" spans="1:59" x14ac:dyDescent="0.3">
      <c r="A427" s="4" t="s">
        <v>410</v>
      </c>
      <c r="B427" s="13"/>
      <c r="C427" s="13" t="s">
        <v>1137</v>
      </c>
      <c r="D427" s="101" t="s">
        <v>1881</v>
      </c>
      <c r="E427" s="102"/>
      <c r="F427" s="13" t="s">
        <v>2385</v>
      </c>
      <c r="G427" s="21">
        <v>31</v>
      </c>
      <c r="H427" s="21">
        <v>0</v>
      </c>
      <c r="I427" s="21">
        <f t="shared" si="358"/>
        <v>0</v>
      </c>
      <c r="J427" s="21">
        <f t="shared" si="359"/>
        <v>0</v>
      </c>
      <c r="K427" s="21">
        <f t="shared" si="360"/>
        <v>0</v>
      </c>
      <c r="L427" s="21">
        <v>0</v>
      </c>
      <c r="M427" s="21">
        <f t="shared" si="361"/>
        <v>0</v>
      </c>
      <c r="N427" s="35"/>
      <c r="O427" s="39"/>
      <c r="U427" s="41">
        <f t="shared" si="362"/>
        <v>0</v>
      </c>
      <c r="W427" s="41">
        <f t="shared" si="363"/>
        <v>0</v>
      </c>
      <c r="X427" s="41">
        <f t="shared" si="364"/>
        <v>0</v>
      </c>
      <c r="Y427" s="41">
        <f t="shared" si="365"/>
        <v>0</v>
      </c>
      <c r="Z427" s="41">
        <f t="shared" si="366"/>
        <v>0</v>
      </c>
      <c r="AA427" s="41">
        <f t="shared" si="367"/>
        <v>0</v>
      </c>
      <c r="AB427" s="41">
        <f t="shared" si="368"/>
        <v>0</v>
      </c>
      <c r="AC427" s="41">
        <f t="shared" si="369"/>
        <v>0</v>
      </c>
      <c r="AD427" s="31"/>
      <c r="AE427" s="21">
        <f t="shared" si="370"/>
        <v>0</v>
      </c>
      <c r="AF427" s="21">
        <f t="shared" si="371"/>
        <v>0</v>
      </c>
      <c r="AG427" s="21">
        <f t="shared" si="372"/>
        <v>0</v>
      </c>
      <c r="AI427" s="41">
        <v>21</v>
      </c>
      <c r="AJ427" s="41">
        <f t="shared" si="373"/>
        <v>0</v>
      </c>
      <c r="AK427" s="41">
        <f t="shared" si="374"/>
        <v>0</v>
      </c>
      <c r="AL427" s="42" t="s">
        <v>13</v>
      </c>
      <c r="AQ427" s="41">
        <f t="shared" si="375"/>
        <v>0</v>
      </c>
      <c r="AR427" s="41">
        <f t="shared" si="376"/>
        <v>0</v>
      </c>
      <c r="AS427" s="41">
        <f t="shared" si="377"/>
        <v>0</v>
      </c>
      <c r="AT427" s="44" t="s">
        <v>2439</v>
      </c>
      <c r="AU427" s="44" t="s">
        <v>2481</v>
      </c>
      <c r="AV427" s="31" t="s">
        <v>2486</v>
      </c>
      <c r="AX427" s="41">
        <f t="shared" si="378"/>
        <v>0</v>
      </c>
      <c r="AY427" s="41">
        <f t="shared" si="379"/>
        <v>0</v>
      </c>
      <c r="AZ427" s="41">
        <v>0</v>
      </c>
      <c r="BA427" s="41">
        <f t="shared" si="380"/>
        <v>0</v>
      </c>
      <c r="BC427" s="21">
        <f t="shared" si="381"/>
        <v>0</v>
      </c>
      <c r="BD427" s="21">
        <f t="shared" si="382"/>
        <v>0</v>
      </c>
      <c r="BE427" s="21">
        <f t="shared" si="383"/>
        <v>0</v>
      </c>
      <c r="BF427" s="21" t="s">
        <v>2492</v>
      </c>
      <c r="BG427" s="41">
        <v>731</v>
      </c>
    </row>
    <row r="428" spans="1:59" x14ac:dyDescent="0.3">
      <c r="A428" s="4" t="s">
        <v>411</v>
      </c>
      <c r="B428" s="13"/>
      <c r="C428" s="13" t="s">
        <v>1137</v>
      </c>
      <c r="D428" s="101" t="s">
        <v>1894</v>
      </c>
      <c r="E428" s="102"/>
      <c r="F428" s="13" t="s">
        <v>2386</v>
      </c>
      <c r="G428" s="21">
        <v>1</v>
      </c>
      <c r="H428" s="21">
        <v>0</v>
      </c>
      <c r="I428" s="21">
        <f t="shared" si="358"/>
        <v>0</v>
      </c>
      <c r="J428" s="21">
        <f t="shared" si="359"/>
        <v>0</v>
      </c>
      <c r="K428" s="21">
        <f t="shared" si="360"/>
        <v>0</v>
      </c>
      <c r="L428" s="21">
        <v>0</v>
      </c>
      <c r="M428" s="21">
        <f t="shared" si="361"/>
        <v>0</v>
      </c>
      <c r="N428" s="35"/>
      <c r="O428" s="39"/>
      <c r="U428" s="41">
        <f t="shared" si="362"/>
        <v>0</v>
      </c>
      <c r="W428" s="41">
        <f t="shared" si="363"/>
        <v>0</v>
      </c>
      <c r="X428" s="41">
        <f t="shared" si="364"/>
        <v>0</v>
      </c>
      <c r="Y428" s="41">
        <f t="shared" si="365"/>
        <v>0</v>
      </c>
      <c r="Z428" s="41">
        <f t="shared" si="366"/>
        <v>0</v>
      </c>
      <c r="AA428" s="41">
        <f t="shared" si="367"/>
        <v>0</v>
      </c>
      <c r="AB428" s="41">
        <f t="shared" si="368"/>
        <v>0</v>
      </c>
      <c r="AC428" s="41">
        <f t="shared" si="369"/>
        <v>0</v>
      </c>
      <c r="AD428" s="31"/>
      <c r="AE428" s="21">
        <f t="shared" si="370"/>
        <v>0</v>
      </c>
      <c r="AF428" s="21">
        <f t="shared" si="371"/>
        <v>0</v>
      </c>
      <c r="AG428" s="21">
        <f t="shared" si="372"/>
        <v>0</v>
      </c>
      <c r="AI428" s="41">
        <v>21</v>
      </c>
      <c r="AJ428" s="41">
        <f t="shared" si="373"/>
        <v>0</v>
      </c>
      <c r="AK428" s="41">
        <f t="shared" si="374"/>
        <v>0</v>
      </c>
      <c r="AL428" s="42" t="s">
        <v>13</v>
      </c>
      <c r="AQ428" s="41">
        <f t="shared" si="375"/>
        <v>0</v>
      </c>
      <c r="AR428" s="41">
        <f t="shared" si="376"/>
        <v>0</v>
      </c>
      <c r="AS428" s="41">
        <f t="shared" si="377"/>
        <v>0</v>
      </c>
      <c r="AT428" s="44" t="s">
        <v>2439</v>
      </c>
      <c r="AU428" s="44" t="s">
        <v>2481</v>
      </c>
      <c r="AV428" s="31" t="s">
        <v>2486</v>
      </c>
      <c r="AX428" s="41">
        <f t="shared" si="378"/>
        <v>0</v>
      </c>
      <c r="AY428" s="41">
        <f t="shared" si="379"/>
        <v>0</v>
      </c>
      <c r="AZ428" s="41">
        <v>0</v>
      </c>
      <c r="BA428" s="41">
        <f t="shared" si="380"/>
        <v>0</v>
      </c>
      <c r="BC428" s="21">
        <f t="shared" si="381"/>
        <v>0</v>
      </c>
      <c r="BD428" s="21">
        <f t="shared" si="382"/>
        <v>0</v>
      </c>
      <c r="BE428" s="21">
        <f t="shared" si="383"/>
        <v>0</v>
      </c>
      <c r="BF428" s="21" t="s">
        <v>2492</v>
      </c>
      <c r="BG428" s="41">
        <v>731</v>
      </c>
    </row>
    <row r="429" spans="1:59" x14ac:dyDescent="0.3">
      <c r="A429" s="4" t="s">
        <v>412</v>
      </c>
      <c r="B429" s="13"/>
      <c r="C429" s="13" t="s">
        <v>1137</v>
      </c>
      <c r="D429" s="101" t="s">
        <v>1739</v>
      </c>
      <c r="E429" s="102"/>
      <c r="F429" s="13" t="s">
        <v>2386</v>
      </c>
      <c r="G429" s="21">
        <v>1</v>
      </c>
      <c r="H429" s="21">
        <v>0</v>
      </c>
      <c r="I429" s="21">
        <f t="shared" ref="I429:I449" si="384">G429*AJ429</f>
        <v>0</v>
      </c>
      <c r="J429" s="21">
        <f t="shared" ref="J429:J449" si="385">G429*AK429</f>
        <v>0</v>
      </c>
      <c r="K429" s="21">
        <f t="shared" ref="K429:K449" si="386">G429*H429</f>
        <v>0</v>
      </c>
      <c r="L429" s="21">
        <v>0</v>
      </c>
      <c r="M429" s="21">
        <f t="shared" ref="M429:M449" si="387">G429*L429</f>
        <v>0</v>
      </c>
      <c r="N429" s="35"/>
      <c r="O429" s="39"/>
      <c r="U429" s="41">
        <f t="shared" ref="U429:U449" si="388">IF(AL429="5",BE429,0)</f>
        <v>0</v>
      </c>
      <c r="W429" s="41">
        <f t="shared" ref="W429:W449" si="389">IF(AL429="1",BC429,0)</f>
        <v>0</v>
      </c>
      <c r="X429" s="41">
        <f t="shared" ref="X429:X449" si="390">IF(AL429="1",BD429,0)</f>
        <v>0</v>
      </c>
      <c r="Y429" s="41">
        <f t="shared" ref="Y429:Y449" si="391">IF(AL429="7",BC429,0)</f>
        <v>0</v>
      </c>
      <c r="Z429" s="41">
        <f t="shared" ref="Z429:Z449" si="392">IF(AL429="7",BD429,0)</f>
        <v>0</v>
      </c>
      <c r="AA429" s="41">
        <f t="shared" ref="AA429:AA449" si="393">IF(AL429="2",BC429,0)</f>
        <v>0</v>
      </c>
      <c r="AB429" s="41">
        <f t="shared" ref="AB429:AB449" si="394">IF(AL429="2",BD429,0)</f>
        <v>0</v>
      </c>
      <c r="AC429" s="41">
        <f t="shared" ref="AC429:AC449" si="395">IF(AL429="0",BE429,0)</f>
        <v>0</v>
      </c>
      <c r="AD429" s="31"/>
      <c r="AE429" s="21">
        <f t="shared" ref="AE429:AE449" si="396">IF(AI429=0,K429,0)</f>
        <v>0</v>
      </c>
      <c r="AF429" s="21">
        <f t="shared" ref="AF429:AF449" si="397">IF(AI429=15,K429,0)</f>
        <v>0</v>
      </c>
      <c r="AG429" s="21">
        <f t="shared" ref="AG429:AG449" si="398">IF(AI429=21,K429,0)</f>
        <v>0</v>
      </c>
      <c r="AI429" s="41">
        <v>21</v>
      </c>
      <c r="AJ429" s="41">
        <f t="shared" ref="AJ429:AJ437" si="399">H429*0</f>
        <v>0</v>
      </c>
      <c r="AK429" s="41">
        <f t="shared" ref="AK429:AK437" si="400">H429*(1-0)</f>
        <v>0</v>
      </c>
      <c r="AL429" s="42" t="s">
        <v>13</v>
      </c>
      <c r="AQ429" s="41">
        <f t="shared" ref="AQ429:AQ449" si="401">AR429+AS429</f>
        <v>0</v>
      </c>
      <c r="AR429" s="41">
        <f t="shared" ref="AR429:AR449" si="402">G429*AJ429</f>
        <v>0</v>
      </c>
      <c r="AS429" s="41">
        <f t="shared" ref="AS429:AS449" si="403">G429*AK429</f>
        <v>0</v>
      </c>
      <c r="AT429" s="44" t="s">
        <v>2439</v>
      </c>
      <c r="AU429" s="44" t="s">
        <v>2481</v>
      </c>
      <c r="AV429" s="31" t="s">
        <v>2486</v>
      </c>
      <c r="AX429" s="41">
        <f t="shared" ref="AX429:AX449" si="404">AR429+AS429</f>
        <v>0</v>
      </c>
      <c r="AY429" s="41">
        <f t="shared" ref="AY429:AY449" si="405">H429/(100-AZ429)*100</f>
        <v>0</v>
      </c>
      <c r="AZ429" s="41">
        <v>0</v>
      </c>
      <c r="BA429" s="41">
        <f t="shared" ref="BA429:BA449" si="406">M429</f>
        <v>0</v>
      </c>
      <c r="BC429" s="21">
        <f t="shared" ref="BC429:BC449" si="407">G429*AJ429</f>
        <v>0</v>
      </c>
      <c r="BD429" s="21">
        <f t="shared" ref="BD429:BD449" si="408">G429*AK429</f>
        <v>0</v>
      </c>
      <c r="BE429" s="21">
        <f t="shared" ref="BE429:BE449" si="409">G429*H429</f>
        <v>0</v>
      </c>
      <c r="BF429" s="21" t="s">
        <v>2492</v>
      </c>
      <c r="BG429" s="41">
        <v>731</v>
      </c>
    </row>
    <row r="430" spans="1:59" x14ac:dyDescent="0.3">
      <c r="A430" s="4" t="s">
        <v>413</v>
      </c>
      <c r="B430" s="13"/>
      <c r="C430" s="13" t="s">
        <v>1137</v>
      </c>
      <c r="D430" s="101" t="s">
        <v>1895</v>
      </c>
      <c r="E430" s="102"/>
      <c r="F430" s="13" t="s">
        <v>2386</v>
      </c>
      <c r="G430" s="21">
        <v>1</v>
      </c>
      <c r="H430" s="21">
        <v>0</v>
      </c>
      <c r="I430" s="21">
        <f t="shared" si="384"/>
        <v>0</v>
      </c>
      <c r="J430" s="21">
        <f t="shared" si="385"/>
        <v>0</v>
      </c>
      <c r="K430" s="21">
        <f t="shared" si="386"/>
        <v>0</v>
      </c>
      <c r="L430" s="21">
        <v>0</v>
      </c>
      <c r="M430" s="21">
        <f t="shared" si="387"/>
        <v>0</v>
      </c>
      <c r="N430" s="35"/>
      <c r="O430" s="39"/>
      <c r="U430" s="41">
        <f t="shared" si="388"/>
        <v>0</v>
      </c>
      <c r="W430" s="41">
        <f t="shared" si="389"/>
        <v>0</v>
      </c>
      <c r="X430" s="41">
        <f t="shared" si="390"/>
        <v>0</v>
      </c>
      <c r="Y430" s="41">
        <f t="shared" si="391"/>
        <v>0</v>
      </c>
      <c r="Z430" s="41">
        <f t="shared" si="392"/>
        <v>0</v>
      </c>
      <c r="AA430" s="41">
        <f t="shared" si="393"/>
        <v>0</v>
      </c>
      <c r="AB430" s="41">
        <f t="shared" si="394"/>
        <v>0</v>
      </c>
      <c r="AC430" s="41">
        <f t="shared" si="395"/>
        <v>0</v>
      </c>
      <c r="AD430" s="31"/>
      <c r="AE430" s="21">
        <f t="shared" si="396"/>
        <v>0</v>
      </c>
      <c r="AF430" s="21">
        <f t="shared" si="397"/>
        <v>0</v>
      </c>
      <c r="AG430" s="21">
        <f t="shared" si="398"/>
        <v>0</v>
      </c>
      <c r="AI430" s="41">
        <v>21</v>
      </c>
      <c r="AJ430" s="41">
        <f t="shared" si="399"/>
        <v>0</v>
      </c>
      <c r="AK430" s="41">
        <f t="shared" si="400"/>
        <v>0</v>
      </c>
      <c r="AL430" s="42" t="s">
        <v>13</v>
      </c>
      <c r="AQ430" s="41">
        <f t="shared" si="401"/>
        <v>0</v>
      </c>
      <c r="AR430" s="41">
        <f t="shared" si="402"/>
        <v>0</v>
      </c>
      <c r="AS430" s="41">
        <f t="shared" si="403"/>
        <v>0</v>
      </c>
      <c r="AT430" s="44" t="s">
        <v>2439</v>
      </c>
      <c r="AU430" s="44" t="s">
        <v>2481</v>
      </c>
      <c r="AV430" s="31" t="s">
        <v>2486</v>
      </c>
      <c r="AX430" s="41">
        <f t="shared" si="404"/>
        <v>0</v>
      </c>
      <c r="AY430" s="41">
        <f t="shared" si="405"/>
        <v>0</v>
      </c>
      <c r="AZ430" s="41">
        <v>0</v>
      </c>
      <c r="BA430" s="41">
        <f t="shared" si="406"/>
        <v>0</v>
      </c>
      <c r="BC430" s="21">
        <f t="shared" si="407"/>
        <v>0</v>
      </c>
      <c r="BD430" s="21">
        <f t="shared" si="408"/>
        <v>0</v>
      </c>
      <c r="BE430" s="21">
        <f t="shared" si="409"/>
        <v>0</v>
      </c>
      <c r="BF430" s="21" t="s">
        <v>2492</v>
      </c>
      <c r="BG430" s="41">
        <v>731</v>
      </c>
    </row>
    <row r="431" spans="1:59" x14ac:dyDescent="0.3">
      <c r="A431" s="4" t="s">
        <v>414</v>
      </c>
      <c r="B431" s="13"/>
      <c r="C431" s="13" t="s">
        <v>1137</v>
      </c>
      <c r="D431" s="101" t="s">
        <v>1741</v>
      </c>
      <c r="E431" s="102"/>
      <c r="F431" s="13" t="s">
        <v>2386</v>
      </c>
      <c r="G431" s="21">
        <v>1</v>
      </c>
      <c r="H431" s="21">
        <v>0</v>
      </c>
      <c r="I431" s="21">
        <f t="shared" si="384"/>
        <v>0</v>
      </c>
      <c r="J431" s="21">
        <f t="shared" si="385"/>
        <v>0</v>
      </c>
      <c r="K431" s="21">
        <f t="shared" si="386"/>
        <v>0</v>
      </c>
      <c r="L431" s="21">
        <v>0</v>
      </c>
      <c r="M431" s="21">
        <f t="shared" si="387"/>
        <v>0</v>
      </c>
      <c r="N431" s="35"/>
      <c r="O431" s="39"/>
      <c r="U431" s="41">
        <f t="shared" si="388"/>
        <v>0</v>
      </c>
      <c r="W431" s="41">
        <f t="shared" si="389"/>
        <v>0</v>
      </c>
      <c r="X431" s="41">
        <f t="shared" si="390"/>
        <v>0</v>
      </c>
      <c r="Y431" s="41">
        <f t="shared" si="391"/>
        <v>0</v>
      </c>
      <c r="Z431" s="41">
        <f t="shared" si="392"/>
        <v>0</v>
      </c>
      <c r="AA431" s="41">
        <f t="shared" si="393"/>
        <v>0</v>
      </c>
      <c r="AB431" s="41">
        <f t="shared" si="394"/>
        <v>0</v>
      </c>
      <c r="AC431" s="41">
        <f t="shared" si="395"/>
        <v>0</v>
      </c>
      <c r="AD431" s="31"/>
      <c r="AE431" s="21">
        <f t="shared" si="396"/>
        <v>0</v>
      </c>
      <c r="AF431" s="21">
        <f t="shared" si="397"/>
        <v>0</v>
      </c>
      <c r="AG431" s="21">
        <f t="shared" si="398"/>
        <v>0</v>
      </c>
      <c r="AI431" s="41">
        <v>21</v>
      </c>
      <c r="AJ431" s="41">
        <f t="shared" si="399"/>
        <v>0</v>
      </c>
      <c r="AK431" s="41">
        <f t="shared" si="400"/>
        <v>0</v>
      </c>
      <c r="AL431" s="42" t="s">
        <v>13</v>
      </c>
      <c r="AQ431" s="41">
        <f t="shared" si="401"/>
        <v>0</v>
      </c>
      <c r="AR431" s="41">
        <f t="shared" si="402"/>
        <v>0</v>
      </c>
      <c r="AS431" s="41">
        <f t="shared" si="403"/>
        <v>0</v>
      </c>
      <c r="AT431" s="44" t="s">
        <v>2439</v>
      </c>
      <c r="AU431" s="44" t="s">
        <v>2481</v>
      </c>
      <c r="AV431" s="31" t="s">
        <v>2486</v>
      </c>
      <c r="AX431" s="41">
        <f t="shared" si="404"/>
        <v>0</v>
      </c>
      <c r="AY431" s="41">
        <f t="shared" si="405"/>
        <v>0</v>
      </c>
      <c r="AZ431" s="41">
        <v>0</v>
      </c>
      <c r="BA431" s="41">
        <f t="shared" si="406"/>
        <v>0</v>
      </c>
      <c r="BC431" s="21">
        <f t="shared" si="407"/>
        <v>0</v>
      </c>
      <c r="BD431" s="21">
        <f t="shared" si="408"/>
        <v>0</v>
      </c>
      <c r="BE431" s="21">
        <f t="shared" si="409"/>
        <v>0</v>
      </c>
      <c r="BF431" s="21" t="s">
        <v>2492</v>
      </c>
      <c r="BG431" s="41">
        <v>731</v>
      </c>
    </row>
    <row r="432" spans="1:59" x14ac:dyDescent="0.3">
      <c r="A432" s="4" t="s">
        <v>415</v>
      </c>
      <c r="B432" s="13"/>
      <c r="C432" s="13" t="s">
        <v>1137</v>
      </c>
      <c r="D432" s="101" t="s">
        <v>1742</v>
      </c>
      <c r="E432" s="102"/>
      <c r="F432" s="13" t="s">
        <v>2386</v>
      </c>
      <c r="G432" s="21">
        <v>1</v>
      </c>
      <c r="H432" s="21">
        <v>0</v>
      </c>
      <c r="I432" s="21">
        <f t="shared" si="384"/>
        <v>0</v>
      </c>
      <c r="J432" s="21">
        <f t="shared" si="385"/>
        <v>0</v>
      </c>
      <c r="K432" s="21">
        <f t="shared" si="386"/>
        <v>0</v>
      </c>
      <c r="L432" s="21">
        <v>0</v>
      </c>
      <c r="M432" s="21">
        <f t="shared" si="387"/>
        <v>0</v>
      </c>
      <c r="N432" s="35"/>
      <c r="O432" s="39"/>
      <c r="U432" s="41">
        <f t="shared" si="388"/>
        <v>0</v>
      </c>
      <c r="W432" s="41">
        <f t="shared" si="389"/>
        <v>0</v>
      </c>
      <c r="X432" s="41">
        <f t="shared" si="390"/>
        <v>0</v>
      </c>
      <c r="Y432" s="41">
        <f t="shared" si="391"/>
        <v>0</v>
      </c>
      <c r="Z432" s="41">
        <f t="shared" si="392"/>
        <v>0</v>
      </c>
      <c r="AA432" s="41">
        <f t="shared" si="393"/>
        <v>0</v>
      </c>
      <c r="AB432" s="41">
        <f t="shared" si="394"/>
        <v>0</v>
      </c>
      <c r="AC432" s="41">
        <f t="shared" si="395"/>
        <v>0</v>
      </c>
      <c r="AD432" s="31"/>
      <c r="AE432" s="21">
        <f t="shared" si="396"/>
        <v>0</v>
      </c>
      <c r="AF432" s="21">
        <f t="shared" si="397"/>
        <v>0</v>
      </c>
      <c r="AG432" s="21">
        <f t="shared" si="398"/>
        <v>0</v>
      </c>
      <c r="AI432" s="41">
        <v>21</v>
      </c>
      <c r="AJ432" s="41">
        <f t="shared" si="399"/>
        <v>0</v>
      </c>
      <c r="AK432" s="41">
        <f t="shared" si="400"/>
        <v>0</v>
      </c>
      <c r="AL432" s="42" t="s">
        <v>13</v>
      </c>
      <c r="AQ432" s="41">
        <f t="shared" si="401"/>
        <v>0</v>
      </c>
      <c r="AR432" s="41">
        <f t="shared" si="402"/>
        <v>0</v>
      </c>
      <c r="AS432" s="41">
        <f t="shared" si="403"/>
        <v>0</v>
      </c>
      <c r="AT432" s="44" t="s">
        <v>2439</v>
      </c>
      <c r="AU432" s="44" t="s">
        <v>2481</v>
      </c>
      <c r="AV432" s="31" t="s">
        <v>2486</v>
      </c>
      <c r="AX432" s="41">
        <f t="shared" si="404"/>
        <v>0</v>
      </c>
      <c r="AY432" s="41">
        <f t="shared" si="405"/>
        <v>0</v>
      </c>
      <c r="AZ432" s="41">
        <v>0</v>
      </c>
      <c r="BA432" s="41">
        <f t="shared" si="406"/>
        <v>0</v>
      </c>
      <c r="BC432" s="21">
        <f t="shared" si="407"/>
        <v>0</v>
      </c>
      <c r="BD432" s="21">
        <f t="shared" si="408"/>
        <v>0</v>
      </c>
      <c r="BE432" s="21">
        <f t="shared" si="409"/>
        <v>0</v>
      </c>
      <c r="BF432" s="21" t="s">
        <v>2492</v>
      </c>
      <c r="BG432" s="41">
        <v>731</v>
      </c>
    </row>
    <row r="433" spans="1:59" x14ac:dyDescent="0.3">
      <c r="A433" s="4" t="s">
        <v>416</v>
      </c>
      <c r="B433" s="13"/>
      <c r="C433" s="13" t="s">
        <v>1137</v>
      </c>
      <c r="D433" s="101" t="s">
        <v>1743</v>
      </c>
      <c r="E433" s="102"/>
      <c r="F433" s="13" t="s">
        <v>2386</v>
      </c>
      <c r="G433" s="21">
        <v>1</v>
      </c>
      <c r="H433" s="21">
        <v>0</v>
      </c>
      <c r="I433" s="21">
        <f t="shared" si="384"/>
        <v>0</v>
      </c>
      <c r="J433" s="21">
        <f t="shared" si="385"/>
        <v>0</v>
      </c>
      <c r="K433" s="21">
        <f t="shared" si="386"/>
        <v>0</v>
      </c>
      <c r="L433" s="21">
        <v>0</v>
      </c>
      <c r="M433" s="21">
        <f t="shared" si="387"/>
        <v>0</v>
      </c>
      <c r="N433" s="35"/>
      <c r="O433" s="39"/>
      <c r="U433" s="41">
        <f t="shared" si="388"/>
        <v>0</v>
      </c>
      <c r="W433" s="41">
        <f t="shared" si="389"/>
        <v>0</v>
      </c>
      <c r="X433" s="41">
        <f t="shared" si="390"/>
        <v>0</v>
      </c>
      <c r="Y433" s="41">
        <f t="shared" si="391"/>
        <v>0</v>
      </c>
      <c r="Z433" s="41">
        <f t="shared" si="392"/>
        <v>0</v>
      </c>
      <c r="AA433" s="41">
        <f t="shared" si="393"/>
        <v>0</v>
      </c>
      <c r="AB433" s="41">
        <f t="shared" si="394"/>
        <v>0</v>
      </c>
      <c r="AC433" s="41">
        <f t="shared" si="395"/>
        <v>0</v>
      </c>
      <c r="AD433" s="31"/>
      <c r="AE433" s="21">
        <f t="shared" si="396"/>
        <v>0</v>
      </c>
      <c r="AF433" s="21">
        <f t="shared" si="397"/>
        <v>0</v>
      </c>
      <c r="AG433" s="21">
        <f t="shared" si="398"/>
        <v>0</v>
      </c>
      <c r="AI433" s="41">
        <v>21</v>
      </c>
      <c r="AJ433" s="41">
        <f t="shared" si="399"/>
        <v>0</v>
      </c>
      <c r="AK433" s="41">
        <f t="shared" si="400"/>
        <v>0</v>
      </c>
      <c r="AL433" s="42" t="s">
        <v>13</v>
      </c>
      <c r="AQ433" s="41">
        <f t="shared" si="401"/>
        <v>0</v>
      </c>
      <c r="AR433" s="41">
        <f t="shared" si="402"/>
        <v>0</v>
      </c>
      <c r="AS433" s="41">
        <f t="shared" si="403"/>
        <v>0</v>
      </c>
      <c r="AT433" s="44" t="s">
        <v>2439</v>
      </c>
      <c r="AU433" s="44" t="s">
        <v>2481</v>
      </c>
      <c r="AV433" s="31" t="s">
        <v>2486</v>
      </c>
      <c r="AX433" s="41">
        <f t="shared" si="404"/>
        <v>0</v>
      </c>
      <c r="AY433" s="41">
        <f t="shared" si="405"/>
        <v>0</v>
      </c>
      <c r="AZ433" s="41">
        <v>0</v>
      </c>
      <c r="BA433" s="41">
        <f t="shared" si="406"/>
        <v>0</v>
      </c>
      <c r="BC433" s="21">
        <f t="shared" si="407"/>
        <v>0</v>
      </c>
      <c r="BD433" s="21">
        <f t="shared" si="408"/>
        <v>0</v>
      </c>
      <c r="BE433" s="21">
        <f t="shared" si="409"/>
        <v>0</v>
      </c>
      <c r="BF433" s="21" t="s">
        <v>2492</v>
      </c>
      <c r="BG433" s="41">
        <v>731</v>
      </c>
    </row>
    <row r="434" spans="1:59" x14ac:dyDescent="0.3">
      <c r="A434" s="4" t="s">
        <v>417</v>
      </c>
      <c r="B434" s="13"/>
      <c r="C434" s="13" t="s">
        <v>1137</v>
      </c>
      <c r="D434" s="101" t="s">
        <v>1744</v>
      </c>
      <c r="E434" s="102"/>
      <c r="F434" s="13" t="s">
        <v>2386</v>
      </c>
      <c r="G434" s="21">
        <v>1</v>
      </c>
      <c r="H434" s="21">
        <v>0</v>
      </c>
      <c r="I434" s="21">
        <f t="shared" si="384"/>
        <v>0</v>
      </c>
      <c r="J434" s="21">
        <f t="shared" si="385"/>
        <v>0</v>
      </c>
      <c r="K434" s="21">
        <f t="shared" si="386"/>
        <v>0</v>
      </c>
      <c r="L434" s="21">
        <v>0</v>
      </c>
      <c r="M434" s="21">
        <f t="shared" si="387"/>
        <v>0</v>
      </c>
      <c r="N434" s="35"/>
      <c r="O434" s="39"/>
      <c r="U434" s="41">
        <f t="shared" si="388"/>
        <v>0</v>
      </c>
      <c r="W434" s="41">
        <f t="shared" si="389"/>
        <v>0</v>
      </c>
      <c r="X434" s="41">
        <f t="shared" si="390"/>
        <v>0</v>
      </c>
      <c r="Y434" s="41">
        <f t="shared" si="391"/>
        <v>0</v>
      </c>
      <c r="Z434" s="41">
        <f t="shared" si="392"/>
        <v>0</v>
      </c>
      <c r="AA434" s="41">
        <f t="shared" si="393"/>
        <v>0</v>
      </c>
      <c r="AB434" s="41">
        <f t="shared" si="394"/>
        <v>0</v>
      </c>
      <c r="AC434" s="41">
        <f t="shared" si="395"/>
        <v>0</v>
      </c>
      <c r="AD434" s="31"/>
      <c r="AE434" s="21">
        <f t="shared" si="396"/>
        <v>0</v>
      </c>
      <c r="AF434" s="21">
        <f t="shared" si="397"/>
        <v>0</v>
      </c>
      <c r="AG434" s="21">
        <f t="shared" si="398"/>
        <v>0</v>
      </c>
      <c r="AI434" s="41">
        <v>21</v>
      </c>
      <c r="AJ434" s="41">
        <f t="shared" si="399"/>
        <v>0</v>
      </c>
      <c r="AK434" s="41">
        <f t="shared" si="400"/>
        <v>0</v>
      </c>
      <c r="AL434" s="42" t="s">
        <v>13</v>
      </c>
      <c r="AQ434" s="41">
        <f t="shared" si="401"/>
        <v>0</v>
      </c>
      <c r="AR434" s="41">
        <f t="shared" si="402"/>
        <v>0</v>
      </c>
      <c r="AS434" s="41">
        <f t="shared" si="403"/>
        <v>0</v>
      </c>
      <c r="AT434" s="44" t="s">
        <v>2439</v>
      </c>
      <c r="AU434" s="44" t="s">
        <v>2481</v>
      </c>
      <c r="AV434" s="31" t="s">
        <v>2486</v>
      </c>
      <c r="AX434" s="41">
        <f t="shared" si="404"/>
        <v>0</v>
      </c>
      <c r="AY434" s="41">
        <f t="shared" si="405"/>
        <v>0</v>
      </c>
      <c r="AZ434" s="41">
        <v>0</v>
      </c>
      <c r="BA434" s="41">
        <f t="shared" si="406"/>
        <v>0</v>
      </c>
      <c r="BC434" s="21">
        <f t="shared" si="407"/>
        <v>0</v>
      </c>
      <c r="BD434" s="21">
        <f t="shared" si="408"/>
        <v>0</v>
      </c>
      <c r="BE434" s="21">
        <f t="shared" si="409"/>
        <v>0</v>
      </c>
      <c r="BF434" s="21" t="s">
        <v>2492</v>
      </c>
      <c r="BG434" s="41">
        <v>731</v>
      </c>
    </row>
    <row r="435" spans="1:59" x14ac:dyDescent="0.3">
      <c r="A435" s="4" t="s">
        <v>418</v>
      </c>
      <c r="B435" s="13"/>
      <c r="C435" s="13" t="s">
        <v>1137</v>
      </c>
      <c r="D435" s="101" t="s">
        <v>1745</v>
      </c>
      <c r="E435" s="102"/>
      <c r="F435" s="13" t="s">
        <v>2386</v>
      </c>
      <c r="G435" s="21">
        <v>1</v>
      </c>
      <c r="H435" s="21">
        <v>0</v>
      </c>
      <c r="I435" s="21">
        <f t="shared" si="384"/>
        <v>0</v>
      </c>
      <c r="J435" s="21">
        <f t="shared" si="385"/>
        <v>0</v>
      </c>
      <c r="K435" s="21">
        <f t="shared" si="386"/>
        <v>0</v>
      </c>
      <c r="L435" s="21">
        <v>0</v>
      </c>
      <c r="M435" s="21">
        <f t="shared" si="387"/>
        <v>0</v>
      </c>
      <c r="N435" s="35"/>
      <c r="O435" s="39"/>
      <c r="U435" s="41">
        <f t="shared" si="388"/>
        <v>0</v>
      </c>
      <c r="W435" s="41">
        <f t="shared" si="389"/>
        <v>0</v>
      </c>
      <c r="X435" s="41">
        <f t="shared" si="390"/>
        <v>0</v>
      </c>
      <c r="Y435" s="41">
        <f t="shared" si="391"/>
        <v>0</v>
      </c>
      <c r="Z435" s="41">
        <f t="shared" si="392"/>
        <v>0</v>
      </c>
      <c r="AA435" s="41">
        <f t="shared" si="393"/>
        <v>0</v>
      </c>
      <c r="AB435" s="41">
        <f t="shared" si="394"/>
        <v>0</v>
      </c>
      <c r="AC435" s="41">
        <f t="shared" si="395"/>
        <v>0</v>
      </c>
      <c r="AD435" s="31"/>
      <c r="AE435" s="21">
        <f t="shared" si="396"/>
        <v>0</v>
      </c>
      <c r="AF435" s="21">
        <f t="shared" si="397"/>
        <v>0</v>
      </c>
      <c r="AG435" s="21">
        <f t="shared" si="398"/>
        <v>0</v>
      </c>
      <c r="AI435" s="41">
        <v>21</v>
      </c>
      <c r="AJ435" s="41">
        <f t="shared" si="399"/>
        <v>0</v>
      </c>
      <c r="AK435" s="41">
        <f t="shared" si="400"/>
        <v>0</v>
      </c>
      <c r="AL435" s="42" t="s">
        <v>13</v>
      </c>
      <c r="AQ435" s="41">
        <f t="shared" si="401"/>
        <v>0</v>
      </c>
      <c r="AR435" s="41">
        <f t="shared" si="402"/>
        <v>0</v>
      </c>
      <c r="AS435" s="41">
        <f t="shared" si="403"/>
        <v>0</v>
      </c>
      <c r="AT435" s="44" t="s">
        <v>2439</v>
      </c>
      <c r="AU435" s="44" t="s">
        <v>2481</v>
      </c>
      <c r="AV435" s="31" t="s">
        <v>2486</v>
      </c>
      <c r="AX435" s="41">
        <f t="shared" si="404"/>
        <v>0</v>
      </c>
      <c r="AY435" s="41">
        <f t="shared" si="405"/>
        <v>0</v>
      </c>
      <c r="AZ435" s="41">
        <v>0</v>
      </c>
      <c r="BA435" s="41">
        <f t="shared" si="406"/>
        <v>0</v>
      </c>
      <c r="BC435" s="21">
        <f t="shared" si="407"/>
        <v>0</v>
      </c>
      <c r="BD435" s="21">
        <f t="shared" si="408"/>
        <v>0</v>
      </c>
      <c r="BE435" s="21">
        <f t="shared" si="409"/>
        <v>0</v>
      </c>
      <c r="BF435" s="21" t="s">
        <v>2492</v>
      </c>
      <c r="BG435" s="41">
        <v>731</v>
      </c>
    </row>
    <row r="436" spans="1:59" x14ac:dyDescent="0.3">
      <c r="A436" s="4" t="s">
        <v>419</v>
      </c>
      <c r="B436" s="13"/>
      <c r="C436" s="13" t="s">
        <v>1137</v>
      </c>
      <c r="D436" s="101" t="s">
        <v>1746</v>
      </c>
      <c r="E436" s="102"/>
      <c r="F436" s="13" t="s">
        <v>2386</v>
      </c>
      <c r="G436" s="21">
        <v>1</v>
      </c>
      <c r="H436" s="21">
        <v>0</v>
      </c>
      <c r="I436" s="21">
        <f t="shared" si="384"/>
        <v>0</v>
      </c>
      <c r="J436" s="21">
        <f t="shared" si="385"/>
        <v>0</v>
      </c>
      <c r="K436" s="21">
        <f t="shared" si="386"/>
        <v>0</v>
      </c>
      <c r="L436" s="21">
        <v>0</v>
      </c>
      <c r="M436" s="21">
        <f t="shared" si="387"/>
        <v>0</v>
      </c>
      <c r="N436" s="35"/>
      <c r="O436" s="39"/>
      <c r="U436" s="41">
        <f t="shared" si="388"/>
        <v>0</v>
      </c>
      <c r="W436" s="41">
        <f t="shared" si="389"/>
        <v>0</v>
      </c>
      <c r="X436" s="41">
        <f t="shared" si="390"/>
        <v>0</v>
      </c>
      <c r="Y436" s="41">
        <f t="shared" si="391"/>
        <v>0</v>
      </c>
      <c r="Z436" s="41">
        <f t="shared" si="392"/>
        <v>0</v>
      </c>
      <c r="AA436" s="41">
        <f t="shared" si="393"/>
        <v>0</v>
      </c>
      <c r="AB436" s="41">
        <f t="shared" si="394"/>
        <v>0</v>
      </c>
      <c r="AC436" s="41">
        <f t="shared" si="395"/>
        <v>0</v>
      </c>
      <c r="AD436" s="31"/>
      <c r="AE436" s="21">
        <f t="shared" si="396"/>
        <v>0</v>
      </c>
      <c r="AF436" s="21">
        <f t="shared" si="397"/>
        <v>0</v>
      </c>
      <c r="AG436" s="21">
        <f t="shared" si="398"/>
        <v>0</v>
      </c>
      <c r="AI436" s="41">
        <v>21</v>
      </c>
      <c r="AJ436" s="41">
        <f t="shared" si="399"/>
        <v>0</v>
      </c>
      <c r="AK436" s="41">
        <f t="shared" si="400"/>
        <v>0</v>
      </c>
      <c r="AL436" s="42" t="s">
        <v>13</v>
      </c>
      <c r="AQ436" s="41">
        <f t="shared" si="401"/>
        <v>0</v>
      </c>
      <c r="AR436" s="41">
        <f t="shared" si="402"/>
        <v>0</v>
      </c>
      <c r="AS436" s="41">
        <f t="shared" si="403"/>
        <v>0</v>
      </c>
      <c r="AT436" s="44" t="s">
        <v>2439</v>
      </c>
      <c r="AU436" s="44" t="s">
        <v>2481</v>
      </c>
      <c r="AV436" s="31" t="s">
        <v>2486</v>
      </c>
      <c r="AX436" s="41">
        <f t="shared" si="404"/>
        <v>0</v>
      </c>
      <c r="AY436" s="41">
        <f t="shared" si="405"/>
        <v>0</v>
      </c>
      <c r="AZ436" s="41">
        <v>0</v>
      </c>
      <c r="BA436" s="41">
        <f t="shared" si="406"/>
        <v>0</v>
      </c>
      <c r="BC436" s="21">
        <f t="shared" si="407"/>
        <v>0</v>
      </c>
      <c r="BD436" s="21">
        <f t="shared" si="408"/>
        <v>0</v>
      </c>
      <c r="BE436" s="21">
        <f t="shared" si="409"/>
        <v>0</v>
      </c>
      <c r="BF436" s="21" t="s">
        <v>2492</v>
      </c>
      <c r="BG436" s="41">
        <v>731</v>
      </c>
    </row>
    <row r="437" spans="1:59" x14ac:dyDescent="0.3">
      <c r="A437" s="4" t="s">
        <v>420</v>
      </c>
      <c r="B437" s="13"/>
      <c r="C437" s="13" t="s">
        <v>1137</v>
      </c>
      <c r="D437" s="101" t="s">
        <v>1747</v>
      </c>
      <c r="E437" s="102"/>
      <c r="F437" s="13" t="s">
        <v>2386</v>
      </c>
      <c r="G437" s="21">
        <v>1</v>
      </c>
      <c r="H437" s="21">
        <v>0</v>
      </c>
      <c r="I437" s="21">
        <f t="shared" si="384"/>
        <v>0</v>
      </c>
      <c r="J437" s="21">
        <f t="shared" si="385"/>
        <v>0</v>
      </c>
      <c r="K437" s="21">
        <f t="shared" si="386"/>
        <v>0</v>
      </c>
      <c r="L437" s="21">
        <v>0</v>
      </c>
      <c r="M437" s="21">
        <f t="shared" si="387"/>
        <v>0</v>
      </c>
      <c r="N437" s="35"/>
      <c r="O437" s="39"/>
      <c r="U437" s="41">
        <f t="shared" si="388"/>
        <v>0</v>
      </c>
      <c r="W437" s="41">
        <f t="shared" si="389"/>
        <v>0</v>
      </c>
      <c r="X437" s="41">
        <f t="shared" si="390"/>
        <v>0</v>
      </c>
      <c r="Y437" s="41">
        <f t="shared" si="391"/>
        <v>0</v>
      </c>
      <c r="Z437" s="41">
        <f t="shared" si="392"/>
        <v>0</v>
      </c>
      <c r="AA437" s="41">
        <f t="shared" si="393"/>
        <v>0</v>
      </c>
      <c r="AB437" s="41">
        <f t="shared" si="394"/>
        <v>0</v>
      </c>
      <c r="AC437" s="41">
        <f t="shared" si="395"/>
        <v>0</v>
      </c>
      <c r="AD437" s="31"/>
      <c r="AE437" s="21">
        <f t="shared" si="396"/>
        <v>0</v>
      </c>
      <c r="AF437" s="21">
        <f t="shared" si="397"/>
        <v>0</v>
      </c>
      <c r="AG437" s="21">
        <f t="shared" si="398"/>
        <v>0</v>
      </c>
      <c r="AI437" s="41">
        <v>21</v>
      </c>
      <c r="AJ437" s="41">
        <f t="shared" si="399"/>
        <v>0</v>
      </c>
      <c r="AK437" s="41">
        <f t="shared" si="400"/>
        <v>0</v>
      </c>
      <c r="AL437" s="42" t="s">
        <v>13</v>
      </c>
      <c r="AQ437" s="41">
        <f t="shared" si="401"/>
        <v>0</v>
      </c>
      <c r="AR437" s="41">
        <f t="shared" si="402"/>
        <v>0</v>
      </c>
      <c r="AS437" s="41">
        <f t="shared" si="403"/>
        <v>0</v>
      </c>
      <c r="AT437" s="44" t="s">
        <v>2439</v>
      </c>
      <c r="AU437" s="44" t="s">
        <v>2481</v>
      </c>
      <c r="AV437" s="31" t="s">
        <v>2486</v>
      </c>
      <c r="AX437" s="41">
        <f t="shared" si="404"/>
        <v>0</v>
      </c>
      <c r="AY437" s="41">
        <f t="shared" si="405"/>
        <v>0</v>
      </c>
      <c r="AZ437" s="41">
        <v>0</v>
      </c>
      <c r="BA437" s="41">
        <f t="shared" si="406"/>
        <v>0</v>
      </c>
      <c r="BC437" s="21">
        <f t="shared" si="407"/>
        <v>0</v>
      </c>
      <c r="BD437" s="21">
        <f t="shared" si="408"/>
        <v>0</v>
      </c>
      <c r="BE437" s="21">
        <f t="shared" si="409"/>
        <v>0</v>
      </c>
      <c r="BF437" s="21" t="s">
        <v>2492</v>
      </c>
      <c r="BG437" s="41">
        <v>731</v>
      </c>
    </row>
    <row r="438" spans="1:59" x14ac:dyDescent="0.3">
      <c r="A438" s="4" t="s">
        <v>421</v>
      </c>
      <c r="B438" s="13"/>
      <c r="C438" s="13" t="s">
        <v>1138</v>
      </c>
      <c r="D438" s="101" t="s">
        <v>1896</v>
      </c>
      <c r="E438" s="102"/>
      <c r="F438" s="13" t="s">
        <v>2386</v>
      </c>
      <c r="G438" s="21">
        <v>-1</v>
      </c>
      <c r="H438" s="21">
        <v>0</v>
      </c>
      <c r="I438" s="21">
        <f t="shared" si="384"/>
        <v>0</v>
      </c>
      <c r="J438" s="21">
        <f t="shared" si="385"/>
        <v>0</v>
      </c>
      <c r="K438" s="21">
        <f t="shared" si="386"/>
        <v>0</v>
      </c>
      <c r="L438" s="21">
        <v>1.09E-2</v>
      </c>
      <c r="M438" s="21">
        <f t="shared" si="387"/>
        <v>-1.09E-2</v>
      </c>
      <c r="N438" s="35" t="s">
        <v>2417</v>
      </c>
      <c r="O438" s="39"/>
      <c r="U438" s="41">
        <f t="shared" si="388"/>
        <v>0</v>
      </c>
      <c r="W438" s="41">
        <f t="shared" si="389"/>
        <v>0</v>
      </c>
      <c r="X438" s="41">
        <f t="shared" si="390"/>
        <v>0</v>
      </c>
      <c r="Y438" s="41">
        <f t="shared" si="391"/>
        <v>0</v>
      </c>
      <c r="Z438" s="41">
        <f t="shared" si="392"/>
        <v>0</v>
      </c>
      <c r="AA438" s="41">
        <f t="shared" si="393"/>
        <v>0</v>
      </c>
      <c r="AB438" s="41">
        <f t="shared" si="394"/>
        <v>0</v>
      </c>
      <c r="AC438" s="41">
        <f t="shared" si="395"/>
        <v>0</v>
      </c>
      <c r="AD438" s="31"/>
      <c r="AE438" s="21">
        <f t="shared" si="396"/>
        <v>0</v>
      </c>
      <c r="AF438" s="21">
        <f t="shared" si="397"/>
        <v>0</v>
      </c>
      <c r="AG438" s="21">
        <f t="shared" si="398"/>
        <v>0</v>
      </c>
      <c r="AI438" s="41">
        <v>21</v>
      </c>
      <c r="AJ438" s="41">
        <f>H438*0.843717549325026</f>
        <v>0</v>
      </c>
      <c r="AK438" s="41">
        <f>H438*(1-0.843717549325026)</f>
        <v>0</v>
      </c>
      <c r="AL438" s="42" t="s">
        <v>13</v>
      </c>
      <c r="AQ438" s="41">
        <f t="shared" si="401"/>
        <v>0</v>
      </c>
      <c r="AR438" s="41">
        <f t="shared" si="402"/>
        <v>0</v>
      </c>
      <c r="AS438" s="41">
        <f t="shared" si="403"/>
        <v>0</v>
      </c>
      <c r="AT438" s="44" t="s">
        <v>2439</v>
      </c>
      <c r="AU438" s="44" t="s">
        <v>2481</v>
      </c>
      <c r="AV438" s="31" t="s">
        <v>2486</v>
      </c>
      <c r="AX438" s="41">
        <f t="shared" si="404"/>
        <v>0</v>
      </c>
      <c r="AY438" s="41">
        <f t="shared" si="405"/>
        <v>0</v>
      </c>
      <c r="AZ438" s="41">
        <v>0</v>
      </c>
      <c r="BA438" s="41">
        <f t="shared" si="406"/>
        <v>-1.09E-2</v>
      </c>
      <c r="BC438" s="21">
        <f t="shared" si="407"/>
        <v>0</v>
      </c>
      <c r="BD438" s="21">
        <f t="shared" si="408"/>
        <v>0</v>
      </c>
      <c r="BE438" s="21">
        <f t="shared" si="409"/>
        <v>0</v>
      </c>
      <c r="BF438" s="21" t="s">
        <v>2492</v>
      </c>
      <c r="BG438" s="41">
        <v>731</v>
      </c>
    </row>
    <row r="439" spans="1:59" x14ac:dyDescent="0.3">
      <c r="A439" s="4" t="s">
        <v>422</v>
      </c>
      <c r="B439" s="13"/>
      <c r="C439" s="13" t="s">
        <v>1139</v>
      </c>
      <c r="D439" s="101" t="s">
        <v>1897</v>
      </c>
      <c r="E439" s="102"/>
      <c r="F439" s="13" t="s">
        <v>2391</v>
      </c>
      <c r="G439" s="21">
        <v>-1</v>
      </c>
      <c r="H439" s="21">
        <v>0</v>
      </c>
      <c r="I439" s="21">
        <f t="shared" si="384"/>
        <v>0</v>
      </c>
      <c r="J439" s="21">
        <f t="shared" si="385"/>
        <v>0</v>
      </c>
      <c r="K439" s="21">
        <f t="shared" si="386"/>
        <v>0</v>
      </c>
      <c r="L439" s="21">
        <v>0</v>
      </c>
      <c r="M439" s="21">
        <f t="shared" si="387"/>
        <v>0</v>
      </c>
      <c r="N439" s="35" t="s">
        <v>2417</v>
      </c>
      <c r="O439" s="39"/>
      <c r="U439" s="41">
        <f t="shared" si="388"/>
        <v>0</v>
      </c>
      <c r="W439" s="41">
        <f t="shared" si="389"/>
        <v>0</v>
      </c>
      <c r="X439" s="41">
        <f t="shared" si="390"/>
        <v>0</v>
      </c>
      <c r="Y439" s="41">
        <f t="shared" si="391"/>
        <v>0</v>
      </c>
      <c r="Z439" s="41">
        <f t="shared" si="392"/>
        <v>0</v>
      </c>
      <c r="AA439" s="41">
        <f t="shared" si="393"/>
        <v>0</v>
      </c>
      <c r="AB439" s="41">
        <f t="shared" si="394"/>
        <v>0</v>
      </c>
      <c r="AC439" s="41">
        <f t="shared" si="395"/>
        <v>0</v>
      </c>
      <c r="AD439" s="31"/>
      <c r="AE439" s="21">
        <f t="shared" si="396"/>
        <v>0</v>
      </c>
      <c r="AF439" s="21">
        <f t="shared" si="397"/>
        <v>0</v>
      </c>
      <c r="AG439" s="21">
        <f t="shared" si="398"/>
        <v>0</v>
      </c>
      <c r="AI439" s="41">
        <v>21</v>
      </c>
      <c r="AJ439" s="41">
        <f>H439*0.875145857642941</f>
        <v>0</v>
      </c>
      <c r="AK439" s="41">
        <f>H439*(1-0.875145857642941)</f>
        <v>0</v>
      </c>
      <c r="AL439" s="42" t="s">
        <v>13</v>
      </c>
      <c r="AQ439" s="41">
        <f t="shared" si="401"/>
        <v>0</v>
      </c>
      <c r="AR439" s="41">
        <f t="shared" si="402"/>
        <v>0</v>
      </c>
      <c r="AS439" s="41">
        <f t="shared" si="403"/>
        <v>0</v>
      </c>
      <c r="AT439" s="44" t="s">
        <v>2439</v>
      </c>
      <c r="AU439" s="44" t="s">
        <v>2481</v>
      </c>
      <c r="AV439" s="31" t="s">
        <v>2486</v>
      </c>
      <c r="AX439" s="41">
        <f t="shared" si="404"/>
        <v>0</v>
      </c>
      <c r="AY439" s="41">
        <f t="shared" si="405"/>
        <v>0</v>
      </c>
      <c r="AZ439" s="41">
        <v>0</v>
      </c>
      <c r="BA439" s="41">
        <f t="shared" si="406"/>
        <v>0</v>
      </c>
      <c r="BC439" s="21">
        <f t="shared" si="407"/>
        <v>0</v>
      </c>
      <c r="BD439" s="21">
        <f t="shared" si="408"/>
        <v>0</v>
      </c>
      <c r="BE439" s="21">
        <f t="shared" si="409"/>
        <v>0</v>
      </c>
      <c r="BF439" s="21" t="s">
        <v>2492</v>
      </c>
      <c r="BG439" s="41">
        <v>731</v>
      </c>
    </row>
    <row r="440" spans="1:59" x14ac:dyDescent="0.3">
      <c r="A440" s="4" t="s">
        <v>423</v>
      </c>
      <c r="B440" s="13"/>
      <c r="C440" s="13" t="s">
        <v>1140</v>
      </c>
      <c r="D440" s="101" t="s">
        <v>1898</v>
      </c>
      <c r="E440" s="102"/>
      <c r="F440" s="13" t="s">
        <v>2385</v>
      </c>
      <c r="G440" s="21">
        <v>-56</v>
      </c>
      <c r="H440" s="21">
        <v>0</v>
      </c>
      <c r="I440" s="21">
        <f t="shared" si="384"/>
        <v>0</v>
      </c>
      <c r="J440" s="21">
        <f t="shared" si="385"/>
        <v>0</v>
      </c>
      <c r="K440" s="21">
        <f t="shared" si="386"/>
        <v>0</v>
      </c>
      <c r="L440" s="21">
        <v>6.4999999999999997E-4</v>
      </c>
      <c r="M440" s="21">
        <f t="shared" si="387"/>
        <v>-3.6400000000000002E-2</v>
      </c>
      <c r="N440" s="35" t="s">
        <v>2417</v>
      </c>
      <c r="O440" s="39"/>
      <c r="U440" s="41">
        <f t="shared" si="388"/>
        <v>0</v>
      </c>
      <c r="W440" s="41">
        <f t="shared" si="389"/>
        <v>0</v>
      </c>
      <c r="X440" s="41">
        <f t="shared" si="390"/>
        <v>0</v>
      </c>
      <c r="Y440" s="41">
        <f t="shared" si="391"/>
        <v>0</v>
      </c>
      <c r="Z440" s="41">
        <f t="shared" si="392"/>
        <v>0</v>
      </c>
      <c r="AA440" s="41">
        <f t="shared" si="393"/>
        <v>0</v>
      </c>
      <c r="AB440" s="41">
        <f t="shared" si="394"/>
        <v>0</v>
      </c>
      <c r="AC440" s="41">
        <f t="shared" si="395"/>
        <v>0</v>
      </c>
      <c r="AD440" s="31"/>
      <c r="AE440" s="21">
        <f t="shared" si="396"/>
        <v>0</v>
      </c>
      <c r="AF440" s="21">
        <f t="shared" si="397"/>
        <v>0</v>
      </c>
      <c r="AG440" s="21">
        <f t="shared" si="398"/>
        <v>0</v>
      </c>
      <c r="AI440" s="41">
        <v>21</v>
      </c>
      <c r="AJ440" s="41">
        <f>H440*0.840336134453782</f>
        <v>0</v>
      </c>
      <c r="AK440" s="41">
        <f>H440*(1-0.840336134453782)</f>
        <v>0</v>
      </c>
      <c r="AL440" s="42" t="s">
        <v>13</v>
      </c>
      <c r="AQ440" s="41">
        <f t="shared" si="401"/>
        <v>0</v>
      </c>
      <c r="AR440" s="41">
        <f t="shared" si="402"/>
        <v>0</v>
      </c>
      <c r="AS440" s="41">
        <f t="shared" si="403"/>
        <v>0</v>
      </c>
      <c r="AT440" s="44" t="s">
        <v>2439</v>
      </c>
      <c r="AU440" s="44" t="s">
        <v>2481</v>
      </c>
      <c r="AV440" s="31" t="s">
        <v>2486</v>
      </c>
      <c r="AX440" s="41">
        <f t="shared" si="404"/>
        <v>0</v>
      </c>
      <c r="AY440" s="41">
        <f t="shared" si="405"/>
        <v>0</v>
      </c>
      <c r="AZ440" s="41">
        <v>0</v>
      </c>
      <c r="BA440" s="41">
        <f t="shared" si="406"/>
        <v>-3.6400000000000002E-2</v>
      </c>
      <c r="BC440" s="21">
        <f t="shared" si="407"/>
        <v>0</v>
      </c>
      <c r="BD440" s="21">
        <f t="shared" si="408"/>
        <v>0</v>
      </c>
      <c r="BE440" s="21">
        <f t="shared" si="409"/>
        <v>0</v>
      </c>
      <c r="BF440" s="21" t="s">
        <v>2492</v>
      </c>
      <c r="BG440" s="41">
        <v>731</v>
      </c>
    </row>
    <row r="441" spans="1:59" x14ac:dyDescent="0.3">
      <c r="A441" s="4" t="s">
        <v>424</v>
      </c>
      <c r="B441" s="13"/>
      <c r="C441" s="13" t="s">
        <v>1141</v>
      </c>
      <c r="D441" s="101" t="s">
        <v>1899</v>
      </c>
      <c r="E441" s="102"/>
      <c r="F441" s="13" t="s">
        <v>2385</v>
      </c>
      <c r="G441" s="21">
        <v>-113</v>
      </c>
      <c r="H441" s="21">
        <v>0</v>
      </c>
      <c r="I441" s="21">
        <f t="shared" si="384"/>
        <v>0</v>
      </c>
      <c r="J441" s="21">
        <f t="shared" si="385"/>
        <v>0</v>
      </c>
      <c r="K441" s="21">
        <f t="shared" si="386"/>
        <v>0</v>
      </c>
      <c r="L441" s="21">
        <v>3.0000000000000001E-5</v>
      </c>
      <c r="M441" s="21">
        <f t="shared" si="387"/>
        <v>-3.3900000000000002E-3</v>
      </c>
      <c r="N441" s="35" t="s">
        <v>2417</v>
      </c>
      <c r="O441" s="39"/>
      <c r="U441" s="41">
        <f t="shared" si="388"/>
        <v>0</v>
      </c>
      <c r="W441" s="41">
        <f t="shared" si="389"/>
        <v>0</v>
      </c>
      <c r="X441" s="41">
        <f t="shared" si="390"/>
        <v>0</v>
      </c>
      <c r="Y441" s="41">
        <f t="shared" si="391"/>
        <v>0</v>
      </c>
      <c r="Z441" s="41">
        <f t="shared" si="392"/>
        <v>0</v>
      </c>
      <c r="AA441" s="41">
        <f t="shared" si="393"/>
        <v>0</v>
      </c>
      <c r="AB441" s="41">
        <f t="shared" si="394"/>
        <v>0</v>
      </c>
      <c r="AC441" s="41">
        <f t="shared" si="395"/>
        <v>0</v>
      </c>
      <c r="AD441" s="31"/>
      <c r="AE441" s="21">
        <f t="shared" si="396"/>
        <v>0</v>
      </c>
      <c r="AF441" s="21">
        <f t="shared" si="397"/>
        <v>0</v>
      </c>
      <c r="AG441" s="21">
        <f t="shared" si="398"/>
        <v>0</v>
      </c>
      <c r="AI441" s="41">
        <v>21</v>
      </c>
      <c r="AJ441" s="41">
        <f>H441*0.481283422459893</f>
        <v>0</v>
      </c>
      <c r="AK441" s="41">
        <f>H441*(1-0.481283422459893)</f>
        <v>0</v>
      </c>
      <c r="AL441" s="42" t="s">
        <v>13</v>
      </c>
      <c r="AQ441" s="41">
        <f t="shared" si="401"/>
        <v>0</v>
      </c>
      <c r="AR441" s="41">
        <f t="shared" si="402"/>
        <v>0</v>
      </c>
      <c r="AS441" s="41">
        <f t="shared" si="403"/>
        <v>0</v>
      </c>
      <c r="AT441" s="44" t="s">
        <v>2439</v>
      </c>
      <c r="AU441" s="44" t="s">
        <v>2481</v>
      </c>
      <c r="AV441" s="31" t="s">
        <v>2486</v>
      </c>
      <c r="AX441" s="41">
        <f t="shared" si="404"/>
        <v>0</v>
      </c>
      <c r="AY441" s="41">
        <f t="shared" si="405"/>
        <v>0</v>
      </c>
      <c r="AZ441" s="41">
        <v>0</v>
      </c>
      <c r="BA441" s="41">
        <f t="shared" si="406"/>
        <v>-3.3900000000000002E-3</v>
      </c>
      <c r="BC441" s="21">
        <f t="shared" si="407"/>
        <v>0</v>
      </c>
      <c r="BD441" s="21">
        <f t="shared" si="408"/>
        <v>0</v>
      </c>
      <c r="BE441" s="21">
        <f t="shared" si="409"/>
        <v>0</v>
      </c>
      <c r="BF441" s="21" t="s">
        <v>2492</v>
      </c>
      <c r="BG441" s="41">
        <v>731</v>
      </c>
    </row>
    <row r="442" spans="1:59" x14ac:dyDescent="0.3">
      <c r="A442" s="4" t="s">
        <v>425</v>
      </c>
      <c r="B442" s="13"/>
      <c r="C442" s="13" t="s">
        <v>1138</v>
      </c>
      <c r="D442" s="101" t="s">
        <v>1900</v>
      </c>
      <c r="E442" s="102"/>
      <c r="F442" s="13" t="s">
        <v>2386</v>
      </c>
      <c r="G442" s="21">
        <v>-2</v>
      </c>
      <c r="H442" s="21">
        <v>0</v>
      </c>
      <c r="I442" s="21">
        <f t="shared" si="384"/>
        <v>0</v>
      </c>
      <c r="J442" s="21">
        <f t="shared" si="385"/>
        <v>0</v>
      </c>
      <c r="K442" s="21">
        <f t="shared" si="386"/>
        <v>0</v>
      </c>
      <c r="L442" s="21">
        <v>1.34E-2</v>
      </c>
      <c r="M442" s="21">
        <f t="shared" si="387"/>
        <v>-2.6800000000000001E-2</v>
      </c>
      <c r="N442" s="35" t="s">
        <v>2417</v>
      </c>
      <c r="O442" s="39"/>
      <c r="U442" s="41">
        <f t="shared" si="388"/>
        <v>0</v>
      </c>
      <c r="W442" s="41">
        <f t="shared" si="389"/>
        <v>0</v>
      </c>
      <c r="X442" s="41">
        <f t="shared" si="390"/>
        <v>0</v>
      </c>
      <c r="Y442" s="41">
        <f t="shared" si="391"/>
        <v>0</v>
      </c>
      <c r="Z442" s="41">
        <f t="shared" si="392"/>
        <v>0</v>
      </c>
      <c r="AA442" s="41">
        <f t="shared" si="393"/>
        <v>0</v>
      </c>
      <c r="AB442" s="41">
        <f t="shared" si="394"/>
        <v>0</v>
      </c>
      <c r="AC442" s="41">
        <f t="shared" si="395"/>
        <v>0</v>
      </c>
      <c r="AD442" s="31"/>
      <c r="AE442" s="21">
        <f t="shared" si="396"/>
        <v>0</v>
      </c>
      <c r="AF442" s="21">
        <f t="shared" si="397"/>
        <v>0</v>
      </c>
      <c r="AG442" s="21">
        <f t="shared" si="398"/>
        <v>0</v>
      </c>
      <c r="AI442" s="41">
        <v>21</v>
      </c>
      <c r="AJ442" s="41">
        <f>H442*0.909344978165939</f>
        <v>0</v>
      </c>
      <c r="AK442" s="41">
        <f>H442*(1-0.909344978165939)</f>
        <v>0</v>
      </c>
      <c r="AL442" s="42" t="s">
        <v>13</v>
      </c>
      <c r="AQ442" s="41">
        <f t="shared" si="401"/>
        <v>0</v>
      </c>
      <c r="AR442" s="41">
        <f t="shared" si="402"/>
        <v>0</v>
      </c>
      <c r="AS442" s="41">
        <f t="shared" si="403"/>
        <v>0</v>
      </c>
      <c r="AT442" s="44" t="s">
        <v>2439</v>
      </c>
      <c r="AU442" s="44" t="s">
        <v>2481</v>
      </c>
      <c r="AV442" s="31" t="s">
        <v>2486</v>
      </c>
      <c r="AX442" s="41">
        <f t="shared" si="404"/>
        <v>0</v>
      </c>
      <c r="AY442" s="41">
        <f t="shared" si="405"/>
        <v>0</v>
      </c>
      <c r="AZ442" s="41">
        <v>0</v>
      </c>
      <c r="BA442" s="41">
        <f t="shared" si="406"/>
        <v>-2.6800000000000001E-2</v>
      </c>
      <c r="BC442" s="21">
        <f t="shared" si="407"/>
        <v>0</v>
      </c>
      <c r="BD442" s="21">
        <f t="shared" si="408"/>
        <v>0</v>
      </c>
      <c r="BE442" s="21">
        <f t="shared" si="409"/>
        <v>0</v>
      </c>
      <c r="BF442" s="21" t="s">
        <v>2492</v>
      </c>
      <c r="BG442" s="41">
        <v>731</v>
      </c>
    </row>
    <row r="443" spans="1:59" x14ac:dyDescent="0.3">
      <c r="A443" s="4" t="s">
        <v>426</v>
      </c>
      <c r="B443" s="13"/>
      <c r="C443" s="13" t="s">
        <v>1140</v>
      </c>
      <c r="D443" s="101" t="s">
        <v>1901</v>
      </c>
      <c r="E443" s="102"/>
      <c r="F443" s="13" t="s">
        <v>2385</v>
      </c>
      <c r="G443" s="21">
        <v>-57</v>
      </c>
      <c r="H443" s="21">
        <v>0</v>
      </c>
      <c r="I443" s="21">
        <f t="shared" si="384"/>
        <v>0</v>
      </c>
      <c r="J443" s="21">
        <f t="shared" si="385"/>
        <v>0</v>
      </c>
      <c r="K443" s="21">
        <f t="shared" si="386"/>
        <v>0</v>
      </c>
      <c r="L443" s="21">
        <v>4.8999999999999998E-4</v>
      </c>
      <c r="M443" s="21">
        <f t="shared" si="387"/>
        <v>-2.793E-2</v>
      </c>
      <c r="N443" s="35" t="s">
        <v>2417</v>
      </c>
      <c r="O443" s="39"/>
      <c r="U443" s="41">
        <f t="shared" si="388"/>
        <v>0</v>
      </c>
      <c r="W443" s="41">
        <f t="shared" si="389"/>
        <v>0</v>
      </c>
      <c r="X443" s="41">
        <f t="shared" si="390"/>
        <v>0</v>
      </c>
      <c r="Y443" s="41">
        <f t="shared" si="391"/>
        <v>0</v>
      </c>
      <c r="Z443" s="41">
        <f t="shared" si="392"/>
        <v>0</v>
      </c>
      <c r="AA443" s="41">
        <f t="shared" si="393"/>
        <v>0</v>
      </c>
      <c r="AB443" s="41">
        <f t="shared" si="394"/>
        <v>0</v>
      </c>
      <c r="AC443" s="41">
        <f t="shared" si="395"/>
        <v>0</v>
      </c>
      <c r="AD443" s="31"/>
      <c r="AE443" s="21">
        <f t="shared" si="396"/>
        <v>0</v>
      </c>
      <c r="AF443" s="21">
        <f t="shared" si="397"/>
        <v>0</v>
      </c>
      <c r="AG443" s="21">
        <f t="shared" si="398"/>
        <v>0</v>
      </c>
      <c r="AI443" s="41">
        <v>21</v>
      </c>
      <c r="AJ443" s="41">
        <f>H443*0.598802395209581</f>
        <v>0</v>
      </c>
      <c r="AK443" s="41">
        <f>H443*(1-0.598802395209581)</f>
        <v>0</v>
      </c>
      <c r="AL443" s="42" t="s">
        <v>13</v>
      </c>
      <c r="AQ443" s="41">
        <f t="shared" si="401"/>
        <v>0</v>
      </c>
      <c r="AR443" s="41">
        <f t="shared" si="402"/>
        <v>0</v>
      </c>
      <c r="AS443" s="41">
        <f t="shared" si="403"/>
        <v>0</v>
      </c>
      <c r="AT443" s="44" t="s">
        <v>2439</v>
      </c>
      <c r="AU443" s="44" t="s">
        <v>2481</v>
      </c>
      <c r="AV443" s="31" t="s">
        <v>2486</v>
      </c>
      <c r="AX443" s="41">
        <f t="shared" si="404"/>
        <v>0</v>
      </c>
      <c r="AY443" s="41">
        <f t="shared" si="405"/>
        <v>0</v>
      </c>
      <c r="AZ443" s="41">
        <v>0</v>
      </c>
      <c r="BA443" s="41">
        <f t="shared" si="406"/>
        <v>-2.793E-2</v>
      </c>
      <c r="BC443" s="21">
        <f t="shared" si="407"/>
        <v>0</v>
      </c>
      <c r="BD443" s="21">
        <f t="shared" si="408"/>
        <v>0</v>
      </c>
      <c r="BE443" s="21">
        <f t="shared" si="409"/>
        <v>0</v>
      </c>
      <c r="BF443" s="21" t="s">
        <v>2492</v>
      </c>
      <c r="BG443" s="41">
        <v>731</v>
      </c>
    </row>
    <row r="444" spans="1:59" x14ac:dyDescent="0.3">
      <c r="A444" s="4" t="s">
        <v>427</v>
      </c>
      <c r="B444" s="13"/>
      <c r="C444" s="13" t="s">
        <v>1142</v>
      </c>
      <c r="D444" s="101" t="s">
        <v>1902</v>
      </c>
      <c r="E444" s="102"/>
      <c r="F444" s="13" t="s">
        <v>2385</v>
      </c>
      <c r="G444" s="21">
        <v>-16</v>
      </c>
      <c r="H444" s="21">
        <v>0</v>
      </c>
      <c r="I444" s="21">
        <f t="shared" si="384"/>
        <v>0</v>
      </c>
      <c r="J444" s="21">
        <f t="shared" si="385"/>
        <v>0</v>
      </c>
      <c r="K444" s="21">
        <f t="shared" si="386"/>
        <v>0</v>
      </c>
      <c r="L444" s="21">
        <v>4.81E-3</v>
      </c>
      <c r="M444" s="21">
        <f t="shared" si="387"/>
        <v>-7.6960000000000001E-2</v>
      </c>
      <c r="N444" s="35" t="s">
        <v>2417</v>
      </c>
      <c r="O444" s="39"/>
      <c r="U444" s="41">
        <f t="shared" si="388"/>
        <v>0</v>
      </c>
      <c r="W444" s="41">
        <f t="shared" si="389"/>
        <v>0</v>
      </c>
      <c r="X444" s="41">
        <f t="shared" si="390"/>
        <v>0</v>
      </c>
      <c r="Y444" s="41">
        <f t="shared" si="391"/>
        <v>0</v>
      </c>
      <c r="Z444" s="41">
        <f t="shared" si="392"/>
        <v>0</v>
      </c>
      <c r="AA444" s="41">
        <f t="shared" si="393"/>
        <v>0</v>
      </c>
      <c r="AB444" s="41">
        <f t="shared" si="394"/>
        <v>0</v>
      </c>
      <c r="AC444" s="41">
        <f t="shared" si="395"/>
        <v>0</v>
      </c>
      <c r="AD444" s="31"/>
      <c r="AE444" s="21">
        <f t="shared" si="396"/>
        <v>0</v>
      </c>
      <c r="AF444" s="21">
        <f t="shared" si="397"/>
        <v>0</v>
      </c>
      <c r="AG444" s="21">
        <f t="shared" si="398"/>
        <v>0</v>
      </c>
      <c r="AI444" s="41">
        <v>21</v>
      </c>
      <c r="AJ444" s="41">
        <f>H444*0.555555555555556</f>
        <v>0</v>
      </c>
      <c r="AK444" s="41">
        <f>H444*(1-0.555555555555556)</f>
        <v>0</v>
      </c>
      <c r="AL444" s="42" t="s">
        <v>13</v>
      </c>
      <c r="AQ444" s="41">
        <f t="shared" si="401"/>
        <v>0</v>
      </c>
      <c r="AR444" s="41">
        <f t="shared" si="402"/>
        <v>0</v>
      </c>
      <c r="AS444" s="41">
        <f t="shared" si="403"/>
        <v>0</v>
      </c>
      <c r="AT444" s="44" t="s">
        <v>2439</v>
      </c>
      <c r="AU444" s="44" t="s">
        <v>2481</v>
      </c>
      <c r="AV444" s="31" t="s">
        <v>2486</v>
      </c>
      <c r="AX444" s="41">
        <f t="shared" si="404"/>
        <v>0</v>
      </c>
      <c r="AY444" s="41">
        <f t="shared" si="405"/>
        <v>0</v>
      </c>
      <c r="AZ444" s="41">
        <v>0</v>
      </c>
      <c r="BA444" s="41">
        <f t="shared" si="406"/>
        <v>-7.6960000000000001E-2</v>
      </c>
      <c r="BC444" s="21">
        <f t="shared" si="407"/>
        <v>0</v>
      </c>
      <c r="BD444" s="21">
        <f t="shared" si="408"/>
        <v>0</v>
      </c>
      <c r="BE444" s="21">
        <f t="shared" si="409"/>
        <v>0</v>
      </c>
      <c r="BF444" s="21" t="s">
        <v>2492</v>
      </c>
      <c r="BG444" s="41">
        <v>731</v>
      </c>
    </row>
    <row r="445" spans="1:59" x14ac:dyDescent="0.3">
      <c r="A445" s="4" t="s">
        <v>428</v>
      </c>
      <c r="B445" s="13"/>
      <c r="C445" s="13" t="s">
        <v>1143</v>
      </c>
      <c r="D445" s="101" t="s">
        <v>1903</v>
      </c>
      <c r="E445" s="102"/>
      <c r="F445" s="13" t="s">
        <v>2385</v>
      </c>
      <c r="G445" s="21">
        <v>-16</v>
      </c>
      <c r="H445" s="21">
        <v>0</v>
      </c>
      <c r="I445" s="21">
        <f t="shared" si="384"/>
        <v>0</v>
      </c>
      <c r="J445" s="21">
        <f t="shared" si="385"/>
        <v>0</v>
      </c>
      <c r="K445" s="21">
        <f t="shared" si="386"/>
        <v>0</v>
      </c>
      <c r="L445" s="21">
        <v>4.0000000000000003E-5</v>
      </c>
      <c r="M445" s="21">
        <f t="shared" si="387"/>
        <v>-6.4000000000000005E-4</v>
      </c>
      <c r="N445" s="35" t="s">
        <v>2417</v>
      </c>
      <c r="O445" s="39"/>
      <c r="U445" s="41">
        <f t="shared" si="388"/>
        <v>0</v>
      </c>
      <c r="W445" s="41">
        <f t="shared" si="389"/>
        <v>0</v>
      </c>
      <c r="X445" s="41">
        <f t="shared" si="390"/>
        <v>0</v>
      </c>
      <c r="Y445" s="41">
        <f t="shared" si="391"/>
        <v>0</v>
      </c>
      <c r="Z445" s="41">
        <f t="shared" si="392"/>
        <v>0</v>
      </c>
      <c r="AA445" s="41">
        <f t="shared" si="393"/>
        <v>0</v>
      </c>
      <c r="AB445" s="41">
        <f t="shared" si="394"/>
        <v>0</v>
      </c>
      <c r="AC445" s="41">
        <f t="shared" si="395"/>
        <v>0</v>
      </c>
      <c r="AD445" s="31"/>
      <c r="AE445" s="21">
        <f t="shared" si="396"/>
        <v>0</v>
      </c>
      <c r="AF445" s="21">
        <f t="shared" si="397"/>
        <v>0</v>
      </c>
      <c r="AG445" s="21">
        <f t="shared" si="398"/>
        <v>0</v>
      </c>
      <c r="AI445" s="41">
        <v>21</v>
      </c>
      <c r="AJ445" s="41">
        <f>H445*0.6</f>
        <v>0</v>
      </c>
      <c r="AK445" s="41">
        <f>H445*(1-0.6)</f>
        <v>0</v>
      </c>
      <c r="AL445" s="42" t="s">
        <v>13</v>
      </c>
      <c r="AQ445" s="41">
        <f t="shared" si="401"/>
        <v>0</v>
      </c>
      <c r="AR445" s="41">
        <f t="shared" si="402"/>
        <v>0</v>
      </c>
      <c r="AS445" s="41">
        <f t="shared" si="403"/>
        <v>0</v>
      </c>
      <c r="AT445" s="44" t="s">
        <v>2439</v>
      </c>
      <c r="AU445" s="44" t="s">
        <v>2481</v>
      </c>
      <c r="AV445" s="31" t="s">
        <v>2486</v>
      </c>
      <c r="AX445" s="41">
        <f t="shared" si="404"/>
        <v>0</v>
      </c>
      <c r="AY445" s="41">
        <f t="shared" si="405"/>
        <v>0</v>
      </c>
      <c r="AZ445" s="41">
        <v>0</v>
      </c>
      <c r="BA445" s="41">
        <f t="shared" si="406"/>
        <v>-6.4000000000000005E-4</v>
      </c>
      <c r="BC445" s="21">
        <f t="shared" si="407"/>
        <v>0</v>
      </c>
      <c r="BD445" s="21">
        <f t="shared" si="408"/>
        <v>0</v>
      </c>
      <c r="BE445" s="21">
        <f t="shared" si="409"/>
        <v>0</v>
      </c>
      <c r="BF445" s="21" t="s">
        <v>2492</v>
      </c>
      <c r="BG445" s="41">
        <v>731</v>
      </c>
    </row>
    <row r="446" spans="1:59" x14ac:dyDescent="0.3">
      <c r="A446" s="4" t="s">
        <v>429</v>
      </c>
      <c r="B446" s="13"/>
      <c r="C446" s="13" t="s">
        <v>1138</v>
      </c>
      <c r="D446" s="101" t="s">
        <v>1904</v>
      </c>
      <c r="E446" s="102"/>
      <c r="F446" s="13" t="s">
        <v>2386</v>
      </c>
      <c r="G446" s="21">
        <v>-1</v>
      </c>
      <c r="H446" s="21">
        <v>0</v>
      </c>
      <c r="I446" s="21">
        <f t="shared" si="384"/>
        <v>0</v>
      </c>
      <c r="J446" s="21">
        <f t="shared" si="385"/>
        <v>0</v>
      </c>
      <c r="K446" s="21">
        <f t="shared" si="386"/>
        <v>0</v>
      </c>
      <c r="L446" s="21">
        <v>7.1999999999999998E-3</v>
      </c>
      <c r="M446" s="21">
        <f t="shared" si="387"/>
        <v>-7.1999999999999998E-3</v>
      </c>
      <c r="N446" s="35" t="s">
        <v>2417</v>
      </c>
      <c r="O446" s="39"/>
      <c r="U446" s="41">
        <f t="shared" si="388"/>
        <v>0</v>
      </c>
      <c r="W446" s="41">
        <f t="shared" si="389"/>
        <v>0</v>
      </c>
      <c r="X446" s="41">
        <f t="shared" si="390"/>
        <v>0</v>
      </c>
      <c r="Y446" s="41">
        <f t="shared" si="391"/>
        <v>0</v>
      </c>
      <c r="Z446" s="41">
        <f t="shared" si="392"/>
        <v>0</v>
      </c>
      <c r="AA446" s="41">
        <f t="shared" si="393"/>
        <v>0</v>
      </c>
      <c r="AB446" s="41">
        <f t="shared" si="394"/>
        <v>0</v>
      </c>
      <c r="AC446" s="41">
        <f t="shared" si="395"/>
        <v>0</v>
      </c>
      <c r="AD446" s="31"/>
      <c r="AE446" s="21">
        <f t="shared" si="396"/>
        <v>0</v>
      </c>
      <c r="AF446" s="21">
        <f t="shared" si="397"/>
        <v>0</v>
      </c>
      <c r="AG446" s="21">
        <f t="shared" si="398"/>
        <v>0</v>
      </c>
      <c r="AI446" s="41">
        <v>21</v>
      </c>
      <c r="AJ446" s="41">
        <f>H446*0.745434215430488</f>
        <v>0</v>
      </c>
      <c r="AK446" s="41">
        <f>H446*(1-0.745434215430488)</f>
        <v>0</v>
      </c>
      <c r="AL446" s="42" t="s">
        <v>13</v>
      </c>
      <c r="AQ446" s="41">
        <f t="shared" si="401"/>
        <v>0</v>
      </c>
      <c r="AR446" s="41">
        <f t="shared" si="402"/>
        <v>0</v>
      </c>
      <c r="AS446" s="41">
        <f t="shared" si="403"/>
        <v>0</v>
      </c>
      <c r="AT446" s="44" t="s">
        <v>2439</v>
      </c>
      <c r="AU446" s="44" t="s">
        <v>2481</v>
      </c>
      <c r="AV446" s="31" t="s">
        <v>2486</v>
      </c>
      <c r="AX446" s="41">
        <f t="shared" si="404"/>
        <v>0</v>
      </c>
      <c r="AY446" s="41">
        <f t="shared" si="405"/>
        <v>0</v>
      </c>
      <c r="AZ446" s="41">
        <v>0</v>
      </c>
      <c r="BA446" s="41">
        <f t="shared" si="406"/>
        <v>-7.1999999999999998E-3</v>
      </c>
      <c r="BC446" s="21">
        <f t="shared" si="407"/>
        <v>0</v>
      </c>
      <c r="BD446" s="21">
        <f t="shared" si="408"/>
        <v>0</v>
      </c>
      <c r="BE446" s="21">
        <f t="shared" si="409"/>
        <v>0</v>
      </c>
      <c r="BF446" s="21" t="s">
        <v>2492</v>
      </c>
      <c r="BG446" s="41">
        <v>731</v>
      </c>
    </row>
    <row r="447" spans="1:59" x14ac:dyDescent="0.3">
      <c r="A447" s="4" t="s">
        <v>430</v>
      </c>
      <c r="B447" s="13"/>
      <c r="C447" s="13" t="s">
        <v>1138</v>
      </c>
      <c r="D447" s="101" t="s">
        <v>1905</v>
      </c>
      <c r="E447" s="102"/>
      <c r="F447" s="13" t="s">
        <v>2386</v>
      </c>
      <c r="G447" s="21">
        <v>-1</v>
      </c>
      <c r="H447" s="21">
        <v>0</v>
      </c>
      <c r="I447" s="21">
        <f t="shared" si="384"/>
        <v>0</v>
      </c>
      <c r="J447" s="21">
        <f t="shared" si="385"/>
        <v>0</v>
      </c>
      <c r="K447" s="21">
        <f t="shared" si="386"/>
        <v>0</v>
      </c>
      <c r="L447" s="21">
        <v>6.6E-3</v>
      </c>
      <c r="M447" s="21">
        <f t="shared" si="387"/>
        <v>-6.6E-3</v>
      </c>
      <c r="N447" s="35" t="s">
        <v>2417</v>
      </c>
      <c r="O447" s="39"/>
      <c r="U447" s="41">
        <f t="shared" si="388"/>
        <v>0</v>
      </c>
      <c r="W447" s="41">
        <f t="shared" si="389"/>
        <v>0</v>
      </c>
      <c r="X447" s="41">
        <f t="shared" si="390"/>
        <v>0</v>
      </c>
      <c r="Y447" s="41">
        <f t="shared" si="391"/>
        <v>0</v>
      </c>
      <c r="Z447" s="41">
        <f t="shared" si="392"/>
        <v>0</v>
      </c>
      <c r="AA447" s="41">
        <f t="shared" si="393"/>
        <v>0</v>
      </c>
      <c r="AB447" s="41">
        <f t="shared" si="394"/>
        <v>0</v>
      </c>
      <c r="AC447" s="41">
        <f t="shared" si="395"/>
        <v>0</v>
      </c>
      <c r="AD447" s="31"/>
      <c r="AE447" s="21">
        <f t="shared" si="396"/>
        <v>0</v>
      </c>
      <c r="AF447" s="21">
        <f t="shared" si="397"/>
        <v>0</v>
      </c>
      <c r="AG447" s="21">
        <f t="shared" si="398"/>
        <v>0</v>
      </c>
      <c r="AI447" s="41">
        <v>21</v>
      </c>
      <c r="AJ447" s="41">
        <f>H447*0.823725011017187</f>
        <v>0</v>
      </c>
      <c r="AK447" s="41">
        <f>H447*(1-0.823725011017187)</f>
        <v>0</v>
      </c>
      <c r="AL447" s="42" t="s">
        <v>13</v>
      </c>
      <c r="AQ447" s="41">
        <f t="shared" si="401"/>
        <v>0</v>
      </c>
      <c r="AR447" s="41">
        <f t="shared" si="402"/>
        <v>0</v>
      </c>
      <c r="AS447" s="41">
        <f t="shared" si="403"/>
        <v>0</v>
      </c>
      <c r="AT447" s="44" t="s">
        <v>2439</v>
      </c>
      <c r="AU447" s="44" t="s">
        <v>2481</v>
      </c>
      <c r="AV447" s="31" t="s">
        <v>2486</v>
      </c>
      <c r="AX447" s="41">
        <f t="shared" si="404"/>
        <v>0</v>
      </c>
      <c r="AY447" s="41">
        <f t="shared" si="405"/>
        <v>0</v>
      </c>
      <c r="AZ447" s="41">
        <v>0</v>
      </c>
      <c r="BA447" s="41">
        <f t="shared" si="406"/>
        <v>-6.6E-3</v>
      </c>
      <c r="BC447" s="21">
        <f t="shared" si="407"/>
        <v>0</v>
      </c>
      <c r="BD447" s="21">
        <f t="shared" si="408"/>
        <v>0</v>
      </c>
      <c r="BE447" s="21">
        <f t="shared" si="409"/>
        <v>0</v>
      </c>
      <c r="BF447" s="21" t="s">
        <v>2492</v>
      </c>
      <c r="BG447" s="41">
        <v>731</v>
      </c>
    </row>
    <row r="448" spans="1:59" x14ac:dyDescent="0.3">
      <c r="A448" s="4" t="s">
        <v>431</v>
      </c>
      <c r="B448" s="13"/>
      <c r="C448" s="13" t="s">
        <v>1138</v>
      </c>
      <c r="D448" s="101" t="s">
        <v>1906</v>
      </c>
      <c r="E448" s="102"/>
      <c r="F448" s="13" t="s">
        <v>2386</v>
      </c>
      <c r="G448" s="21">
        <v>-1</v>
      </c>
      <c r="H448" s="21">
        <v>0</v>
      </c>
      <c r="I448" s="21">
        <f t="shared" si="384"/>
        <v>0</v>
      </c>
      <c r="J448" s="21">
        <f t="shared" si="385"/>
        <v>0</v>
      </c>
      <c r="K448" s="21">
        <f t="shared" si="386"/>
        <v>0</v>
      </c>
      <c r="L448" s="21">
        <v>8.2000000000000007E-3</v>
      </c>
      <c r="M448" s="21">
        <f t="shared" si="387"/>
        <v>-8.2000000000000007E-3</v>
      </c>
      <c r="N448" s="35" t="s">
        <v>2417</v>
      </c>
      <c r="O448" s="39"/>
      <c r="U448" s="41">
        <f t="shared" si="388"/>
        <v>0</v>
      </c>
      <c r="W448" s="41">
        <f t="shared" si="389"/>
        <v>0</v>
      </c>
      <c r="X448" s="41">
        <f t="shared" si="390"/>
        <v>0</v>
      </c>
      <c r="Y448" s="41">
        <f t="shared" si="391"/>
        <v>0</v>
      </c>
      <c r="Z448" s="41">
        <f t="shared" si="392"/>
        <v>0</v>
      </c>
      <c r="AA448" s="41">
        <f t="shared" si="393"/>
        <v>0</v>
      </c>
      <c r="AB448" s="41">
        <f t="shared" si="394"/>
        <v>0</v>
      </c>
      <c r="AC448" s="41">
        <f t="shared" si="395"/>
        <v>0</v>
      </c>
      <c r="AD448" s="31"/>
      <c r="AE448" s="21">
        <f t="shared" si="396"/>
        <v>0</v>
      </c>
      <c r="AF448" s="21">
        <f t="shared" si="397"/>
        <v>0</v>
      </c>
      <c r="AG448" s="21">
        <f t="shared" si="398"/>
        <v>0</v>
      </c>
      <c r="AI448" s="41">
        <v>21</v>
      </c>
      <c r="AJ448" s="41">
        <f>H448*0.82250621228257</f>
        <v>0</v>
      </c>
      <c r="AK448" s="41">
        <f>H448*(1-0.82250621228257)</f>
        <v>0</v>
      </c>
      <c r="AL448" s="42" t="s">
        <v>13</v>
      </c>
      <c r="AQ448" s="41">
        <f t="shared" si="401"/>
        <v>0</v>
      </c>
      <c r="AR448" s="41">
        <f t="shared" si="402"/>
        <v>0</v>
      </c>
      <c r="AS448" s="41">
        <f t="shared" si="403"/>
        <v>0</v>
      </c>
      <c r="AT448" s="44" t="s">
        <v>2439</v>
      </c>
      <c r="AU448" s="44" t="s">
        <v>2481</v>
      </c>
      <c r="AV448" s="31" t="s">
        <v>2486</v>
      </c>
      <c r="AX448" s="41">
        <f t="shared" si="404"/>
        <v>0</v>
      </c>
      <c r="AY448" s="41">
        <f t="shared" si="405"/>
        <v>0</v>
      </c>
      <c r="AZ448" s="41">
        <v>0</v>
      </c>
      <c r="BA448" s="41">
        <f t="shared" si="406"/>
        <v>-8.2000000000000007E-3</v>
      </c>
      <c r="BC448" s="21">
        <f t="shared" si="407"/>
        <v>0</v>
      </c>
      <c r="BD448" s="21">
        <f t="shared" si="408"/>
        <v>0</v>
      </c>
      <c r="BE448" s="21">
        <f t="shared" si="409"/>
        <v>0</v>
      </c>
      <c r="BF448" s="21" t="s">
        <v>2492</v>
      </c>
      <c r="BG448" s="41">
        <v>731</v>
      </c>
    </row>
    <row r="449" spans="1:59" x14ac:dyDescent="0.3">
      <c r="A449" s="4" t="s">
        <v>432</v>
      </c>
      <c r="B449" s="13"/>
      <c r="C449" s="13" t="s">
        <v>1138</v>
      </c>
      <c r="D449" s="101" t="s">
        <v>1907</v>
      </c>
      <c r="E449" s="102"/>
      <c r="F449" s="13" t="s">
        <v>2386</v>
      </c>
      <c r="G449" s="21">
        <v>-1</v>
      </c>
      <c r="H449" s="21">
        <v>0</v>
      </c>
      <c r="I449" s="21">
        <f t="shared" si="384"/>
        <v>0</v>
      </c>
      <c r="J449" s="21">
        <f t="shared" si="385"/>
        <v>0</v>
      </c>
      <c r="K449" s="21">
        <f t="shared" si="386"/>
        <v>0</v>
      </c>
      <c r="L449" s="21">
        <v>8.8999999999999999E-3</v>
      </c>
      <c r="M449" s="21">
        <f t="shared" si="387"/>
        <v>-8.8999999999999999E-3</v>
      </c>
      <c r="N449" s="35" t="s">
        <v>2417</v>
      </c>
      <c r="O449" s="39"/>
      <c r="U449" s="41">
        <f t="shared" si="388"/>
        <v>0</v>
      </c>
      <c r="W449" s="41">
        <f t="shared" si="389"/>
        <v>0</v>
      </c>
      <c r="X449" s="41">
        <f t="shared" si="390"/>
        <v>0</v>
      </c>
      <c r="Y449" s="41">
        <f t="shared" si="391"/>
        <v>0</v>
      </c>
      <c r="Z449" s="41">
        <f t="shared" si="392"/>
        <v>0</v>
      </c>
      <c r="AA449" s="41">
        <f t="shared" si="393"/>
        <v>0</v>
      </c>
      <c r="AB449" s="41">
        <f t="shared" si="394"/>
        <v>0</v>
      </c>
      <c r="AC449" s="41">
        <f t="shared" si="395"/>
        <v>0</v>
      </c>
      <c r="AD449" s="31"/>
      <c r="AE449" s="21">
        <f t="shared" si="396"/>
        <v>0</v>
      </c>
      <c r="AF449" s="21">
        <f t="shared" si="397"/>
        <v>0</v>
      </c>
      <c r="AG449" s="21">
        <f t="shared" si="398"/>
        <v>0</v>
      </c>
      <c r="AI449" s="41">
        <v>21</v>
      </c>
      <c r="AJ449" s="41">
        <f>H449*0.898538961038961</f>
        <v>0</v>
      </c>
      <c r="AK449" s="41">
        <f>H449*(1-0.898538961038961)</f>
        <v>0</v>
      </c>
      <c r="AL449" s="42" t="s">
        <v>13</v>
      </c>
      <c r="AQ449" s="41">
        <f t="shared" si="401"/>
        <v>0</v>
      </c>
      <c r="AR449" s="41">
        <f t="shared" si="402"/>
        <v>0</v>
      </c>
      <c r="AS449" s="41">
        <f t="shared" si="403"/>
        <v>0</v>
      </c>
      <c r="AT449" s="44" t="s">
        <v>2439</v>
      </c>
      <c r="AU449" s="44" t="s">
        <v>2481</v>
      </c>
      <c r="AV449" s="31" t="s">
        <v>2486</v>
      </c>
      <c r="AX449" s="41">
        <f t="shared" si="404"/>
        <v>0</v>
      </c>
      <c r="AY449" s="41">
        <f t="shared" si="405"/>
        <v>0</v>
      </c>
      <c r="AZ449" s="41">
        <v>0</v>
      </c>
      <c r="BA449" s="41">
        <f t="shared" si="406"/>
        <v>-8.8999999999999999E-3</v>
      </c>
      <c r="BC449" s="21">
        <f t="shared" si="407"/>
        <v>0</v>
      </c>
      <c r="BD449" s="21">
        <f t="shared" si="408"/>
        <v>0</v>
      </c>
      <c r="BE449" s="21">
        <f t="shared" si="409"/>
        <v>0</v>
      </c>
      <c r="BF449" s="21" t="s">
        <v>2492</v>
      </c>
      <c r="BG449" s="41">
        <v>731</v>
      </c>
    </row>
    <row r="450" spans="1:59" x14ac:dyDescent="0.3">
      <c r="A450" s="5"/>
      <c r="B450" s="14"/>
      <c r="C450" s="14" t="s">
        <v>734</v>
      </c>
      <c r="D450" s="103" t="s">
        <v>1908</v>
      </c>
      <c r="E450" s="104"/>
      <c r="F450" s="19" t="s">
        <v>6</v>
      </c>
      <c r="G450" s="19" t="s">
        <v>6</v>
      </c>
      <c r="H450" s="19" t="s">
        <v>6</v>
      </c>
      <c r="I450" s="47">
        <f>SUM(I451:I451)</f>
        <v>0</v>
      </c>
      <c r="J450" s="47">
        <f>SUM(J451:J451)</f>
        <v>0</v>
      </c>
      <c r="K450" s="47">
        <f>SUM(K451:K451)</f>
        <v>0</v>
      </c>
      <c r="L450" s="31"/>
      <c r="M450" s="47">
        <f>SUM(M451:M451)</f>
        <v>0.06</v>
      </c>
      <c r="N450" s="36"/>
      <c r="O450" s="39"/>
      <c r="AD450" s="31"/>
      <c r="AN450" s="47">
        <f>SUM(AE451:AE451)</f>
        <v>0</v>
      </c>
      <c r="AO450" s="47">
        <f>SUM(AF451:AF451)</f>
        <v>0</v>
      </c>
      <c r="AP450" s="47">
        <f>SUM(AG451:AG451)</f>
        <v>0</v>
      </c>
    </row>
    <row r="451" spans="1:59" x14ac:dyDescent="0.3">
      <c r="A451" s="4" t="s">
        <v>433</v>
      </c>
      <c r="B451" s="13"/>
      <c r="C451" s="13" t="s">
        <v>1144</v>
      </c>
      <c r="D451" s="101" t="s">
        <v>1909</v>
      </c>
      <c r="E451" s="102"/>
      <c r="F451" s="13" t="s">
        <v>2392</v>
      </c>
      <c r="G451" s="21">
        <v>1</v>
      </c>
      <c r="H451" s="21">
        <v>0</v>
      </c>
      <c r="I451" s="21">
        <f>G451*AJ451</f>
        <v>0</v>
      </c>
      <c r="J451" s="21">
        <f>G451*AK451</f>
        <v>0</v>
      </c>
      <c r="K451" s="21">
        <f>G451*H451</f>
        <v>0</v>
      </c>
      <c r="L451" s="21">
        <v>0.06</v>
      </c>
      <c r="M451" s="21">
        <f>G451*L451</f>
        <v>0.06</v>
      </c>
      <c r="N451" s="35" t="s">
        <v>2417</v>
      </c>
      <c r="O451" s="39"/>
      <c r="P451" s="126"/>
      <c r="Q451" s="126"/>
      <c r="R451" s="126"/>
      <c r="U451" s="41">
        <f>IF(AL451="5",BE451,0)</f>
        <v>0</v>
      </c>
      <c r="W451" s="41">
        <f>IF(AL451="1",BC451,0)</f>
        <v>0</v>
      </c>
      <c r="X451" s="41">
        <f>IF(AL451="1",BD451,0)</f>
        <v>0</v>
      </c>
      <c r="Y451" s="41">
        <f>IF(AL451="7",BC451,0)</f>
        <v>0</v>
      </c>
      <c r="Z451" s="41">
        <f>IF(AL451="7",BD451,0)</f>
        <v>0</v>
      </c>
      <c r="AA451" s="41">
        <f>IF(AL451="2",BC451,0)</f>
        <v>0</v>
      </c>
      <c r="AB451" s="41">
        <f>IF(AL451="2",BD451,0)</f>
        <v>0</v>
      </c>
      <c r="AC451" s="41">
        <f>IF(AL451="0",BE451,0)</f>
        <v>0</v>
      </c>
      <c r="AD451" s="31"/>
      <c r="AE451" s="21">
        <f>IF(AI451=0,K451,0)</f>
        <v>0</v>
      </c>
      <c r="AF451" s="21">
        <f>IF(AI451=15,K451,0)</f>
        <v>0</v>
      </c>
      <c r="AG451" s="21">
        <f>IF(AI451=21,K451,0)</f>
        <v>0</v>
      </c>
      <c r="AI451" s="41">
        <v>21</v>
      </c>
      <c r="AJ451" s="41">
        <f>H451*0.604490500863558</f>
        <v>0</v>
      </c>
      <c r="AK451" s="41">
        <f>H451*(1-0.604490500863558)</f>
        <v>0</v>
      </c>
      <c r="AL451" s="42" t="s">
        <v>13</v>
      </c>
      <c r="AQ451" s="41">
        <f>AR451+AS451</f>
        <v>0</v>
      </c>
      <c r="AR451" s="41">
        <f>G451*AJ451</f>
        <v>0</v>
      </c>
      <c r="AS451" s="41">
        <f>G451*AK451</f>
        <v>0</v>
      </c>
      <c r="AT451" s="44" t="s">
        <v>2440</v>
      </c>
      <c r="AU451" s="44" t="s">
        <v>2481</v>
      </c>
      <c r="AV451" s="31" t="s">
        <v>2486</v>
      </c>
      <c r="AX451" s="41">
        <f>AR451+AS451</f>
        <v>0</v>
      </c>
      <c r="AY451" s="41">
        <f>H451/(100-AZ451)*100</f>
        <v>0</v>
      </c>
      <c r="AZ451" s="41">
        <v>0</v>
      </c>
      <c r="BA451" s="41">
        <f>M451</f>
        <v>0.06</v>
      </c>
      <c r="BC451" s="21">
        <f>G451*AJ451</f>
        <v>0</v>
      </c>
      <c r="BD451" s="21">
        <f>G451*AK451</f>
        <v>0</v>
      </c>
      <c r="BE451" s="21">
        <f>G451*H451</f>
        <v>0</v>
      </c>
      <c r="BF451" s="21" t="s">
        <v>2492</v>
      </c>
      <c r="BG451" s="41">
        <v>732</v>
      </c>
    </row>
    <row r="452" spans="1:59" x14ac:dyDescent="0.3">
      <c r="A452" s="5"/>
      <c r="B452" s="14"/>
      <c r="C452" s="14" t="s">
        <v>1145</v>
      </c>
      <c r="D452" s="103" t="s">
        <v>1910</v>
      </c>
      <c r="E452" s="104"/>
      <c r="F452" s="19" t="s">
        <v>6</v>
      </c>
      <c r="G452" s="19" t="s">
        <v>6</v>
      </c>
      <c r="H452" s="19" t="s">
        <v>6</v>
      </c>
      <c r="I452" s="47">
        <f>SUM(I453:I536)</f>
        <v>0</v>
      </c>
      <c r="J452" s="47">
        <f>SUM(J453:J536)</f>
        <v>0</v>
      </c>
      <c r="K452" s="47">
        <f>SUM(K453:K536)</f>
        <v>0</v>
      </c>
      <c r="L452" s="31"/>
      <c r="M452" s="47">
        <f>SUM(M453:M536)</f>
        <v>0</v>
      </c>
      <c r="N452" s="36"/>
      <c r="O452" s="39"/>
      <c r="AD452" s="31"/>
      <c r="AN452" s="47">
        <f>SUM(AE453:AE536)</f>
        <v>0</v>
      </c>
      <c r="AO452" s="47">
        <f>SUM(AF453:AF536)</f>
        <v>0</v>
      </c>
      <c r="AP452" s="47">
        <f>SUM(AG453:AG536)</f>
        <v>0</v>
      </c>
    </row>
    <row r="453" spans="1:59" x14ac:dyDescent="0.3">
      <c r="A453" s="4" t="s">
        <v>434</v>
      </c>
      <c r="B453" s="13"/>
      <c r="C453" s="13" t="s">
        <v>1146</v>
      </c>
      <c r="D453" s="101" t="s">
        <v>1911</v>
      </c>
      <c r="E453" s="102"/>
      <c r="F453" s="13" t="s">
        <v>2384</v>
      </c>
      <c r="G453" s="21">
        <v>1</v>
      </c>
      <c r="H453" s="21">
        <v>0</v>
      </c>
      <c r="I453" s="21">
        <f t="shared" ref="I453:I484" si="410">G453*AJ453</f>
        <v>0</v>
      </c>
      <c r="J453" s="21">
        <f t="shared" ref="J453:J484" si="411">G453*AK453</f>
        <v>0</v>
      </c>
      <c r="K453" s="21">
        <f t="shared" ref="K453:K484" si="412">G453*H453</f>
        <v>0</v>
      </c>
      <c r="L453" s="21">
        <v>0</v>
      </c>
      <c r="M453" s="21">
        <f t="shared" ref="M453:M484" si="413">G453*L453</f>
        <v>0</v>
      </c>
      <c r="N453" s="35"/>
      <c r="O453" s="39"/>
      <c r="U453" s="41">
        <f t="shared" ref="U453:U484" si="414">IF(AL453="5",BE453,0)</f>
        <v>0</v>
      </c>
      <c r="W453" s="41">
        <f t="shared" ref="W453:W484" si="415">IF(AL453="1",BC453,0)</f>
        <v>0</v>
      </c>
      <c r="X453" s="41">
        <f t="shared" ref="X453:X484" si="416">IF(AL453="1",BD453,0)</f>
        <v>0</v>
      </c>
      <c r="Y453" s="41">
        <f t="shared" ref="Y453:Y484" si="417">IF(AL453="7",BC453,0)</f>
        <v>0</v>
      </c>
      <c r="Z453" s="41">
        <f t="shared" ref="Z453:Z484" si="418">IF(AL453="7",BD453,0)</f>
        <v>0</v>
      </c>
      <c r="AA453" s="41">
        <f t="shared" ref="AA453:AA484" si="419">IF(AL453="2",BC453,0)</f>
        <v>0</v>
      </c>
      <c r="AB453" s="41">
        <f t="shared" ref="AB453:AB484" si="420">IF(AL453="2",BD453,0)</f>
        <v>0</v>
      </c>
      <c r="AC453" s="41">
        <f t="shared" ref="AC453:AC484" si="421">IF(AL453="0",BE453,0)</f>
        <v>0</v>
      </c>
      <c r="AD453" s="31"/>
      <c r="AE453" s="21">
        <f t="shared" ref="AE453:AE484" si="422">IF(AI453=0,K453,0)</f>
        <v>0</v>
      </c>
      <c r="AF453" s="21">
        <f t="shared" ref="AF453:AF484" si="423">IF(AI453=15,K453,0)</f>
        <v>0</v>
      </c>
      <c r="AG453" s="21">
        <f t="shared" ref="AG453:AG484" si="424">IF(AI453=21,K453,0)</f>
        <v>0</v>
      </c>
      <c r="AI453" s="41">
        <v>21</v>
      </c>
      <c r="AJ453" s="41">
        <f t="shared" ref="AJ453:AJ484" si="425">H453*0</f>
        <v>0</v>
      </c>
      <c r="AK453" s="41">
        <f t="shared" ref="AK453:AK484" si="426">H453*(1-0)</f>
        <v>0</v>
      </c>
      <c r="AL453" s="42" t="s">
        <v>13</v>
      </c>
      <c r="AQ453" s="41">
        <f t="shared" ref="AQ453:AQ484" si="427">AR453+AS453</f>
        <v>0</v>
      </c>
      <c r="AR453" s="41">
        <f t="shared" ref="AR453:AR484" si="428">G453*AJ453</f>
        <v>0</v>
      </c>
      <c r="AS453" s="41">
        <f t="shared" ref="AS453:AS484" si="429">G453*AK453</f>
        <v>0</v>
      </c>
      <c r="AT453" s="44" t="s">
        <v>2441</v>
      </c>
      <c r="AU453" s="44" t="s">
        <v>2481</v>
      </c>
      <c r="AV453" s="31" t="s">
        <v>2486</v>
      </c>
      <c r="AX453" s="41">
        <f t="shared" ref="AX453:AX484" si="430">AR453+AS453</f>
        <v>0</v>
      </c>
      <c r="AY453" s="41">
        <f t="shared" ref="AY453:AY484" si="431">H453/(100-AZ453)*100</f>
        <v>0</v>
      </c>
      <c r="AZ453" s="41">
        <v>0</v>
      </c>
      <c r="BA453" s="41">
        <f t="shared" ref="BA453:BA484" si="432">M453</f>
        <v>0</v>
      </c>
      <c r="BC453" s="21">
        <f t="shared" ref="BC453:BC484" si="433">G453*AJ453</f>
        <v>0</v>
      </c>
      <c r="BD453" s="21">
        <f t="shared" ref="BD453:BD484" si="434">G453*AK453</f>
        <v>0</v>
      </c>
      <c r="BE453" s="21">
        <f t="shared" ref="BE453:BE484" si="435">G453*H453</f>
        <v>0</v>
      </c>
      <c r="BF453" s="21" t="s">
        <v>2492</v>
      </c>
      <c r="BG453" s="41">
        <v>7321</v>
      </c>
    </row>
    <row r="454" spans="1:59" x14ac:dyDescent="0.3">
      <c r="A454" s="4" t="s">
        <v>435</v>
      </c>
      <c r="B454" s="13"/>
      <c r="C454" s="13" t="s">
        <v>1146</v>
      </c>
      <c r="D454" s="101" t="s">
        <v>1912</v>
      </c>
      <c r="E454" s="102"/>
      <c r="F454" s="13" t="s">
        <v>2384</v>
      </c>
      <c r="G454" s="21">
        <v>1</v>
      </c>
      <c r="H454" s="21">
        <v>0</v>
      </c>
      <c r="I454" s="21">
        <f t="shared" si="410"/>
        <v>0</v>
      </c>
      <c r="J454" s="21">
        <f t="shared" si="411"/>
        <v>0</v>
      </c>
      <c r="K454" s="21">
        <f t="shared" si="412"/>
        <v>0</v>
      </c>
      <c r="L454" s="21">
        <v>0</v>
      </c>
      <c r="M454" s="21">
        <f t="shared" si="413"/>
        <v>0</v>
      </c>
      <c r="N454" s="35"/>
      <c r="O454" s="39"/>
      <c r="U454" s="41">
        <f t="shared" si="414"/>
        <v>0</v>
      </c>
      <c r="W454" s="41">
        <f t="shared" si="415"/>
        <v>0</v>
      </c>
      <c r="X454" s="41">
        <f t="shared" si="416"/>
        <v>0</v>
      </c>
      <c r="Y454" s="41">
        <f t="shared" si="417"/>
        <v>0</v>
      </c>
      <c r="Z454" s="41">
        <f t="shared" si="418"/>
        <v>0</v>
      </c>
      <c r="AA454" s="41">
        <f t="shared" si="419"/>
        <v>0</v>
      </c>
      <c r="AB454" s="41">
        <f t="shared" si="420"/>
        <v>0</v>
      </c>
      <c r="AC454" s="41">
        <f t="shared" si="421"/>
        <v>0</v>
      </c>
      <c r="AD454" s="31"/>
      <c r="AE454" s="21">
        <f t="shared" si="422"/>
        <v>0</v>
      </c>
      <c r="AF454" s="21">
        <f t="shared" si="423"/>
        <v>0</v>
      </c>
      <c r="AG454" s="21">
        <f t="shared" si="424"/>
        <v>0</v>
      </c>
      <c r="AI454" s="41">
        <v>21</v>
      </c>
      <c r="AJ454" s="41">
        <f t="shared" si="425"/>
        <v>0</v>
      </c>
      <c r="AK454" s="41">
        <f t="shared" si="426"/>
        <v>0</v>
      </c>
      <c r="AL454" s="42" t="s">
        <v>13</v>
      </c>
      <c r="AQ454" s="41">
        <f t="shared" si="427"/>
        <v>0</v>
      </c>
      <c r="AR454" s="41">
        <f t="shared" si="428"/>
        <v>0</v>
      </c>
      <c r="AS454" s="41">
        <f t="shared" si="429"/>
        <v>0</v>
      </c>
      <c r="AT454" s="44" t="s">
        <v>2441</v>
      </c>
      <c r="AU454" s="44" t="s">
        <v>2481</v>
      </c>
      <c r="AV454" s="31" t="s">
        <v>2486</v>
      </c>
      <c r="AX454" s="41">
        <f t="shared" si="430"/>
        <v>0</v>
      </c>
      <c r="AY454" s="41">
        <f t="shared" si="431"/>
        <v>0</v>
      </c>
      <c r="AZ454" s="41">
        <v>0</v>
      </c>
      <c r="BA454" s="41">
        <f t="shared" si="432"/>
        <v>0</v>
      </c>
      <c r="BC454" s="21">
        <f t="shared" si="433"/>
        <v>0</v>
      </c>
      <c r="BD454" s="21">
        <f t="shared" si="434"/>
        <v>0</v>
      </c>
      <c r="BE454" s="21">
        <f t="shared" si="435"/>
        <v>0</v>
      </c>
      <c r="BF454" s="21" t="s">
        <v>2492</v>
      </c>
      <c r="BG454" s="41">
        <v>7321</v>
      </c>
    </row>
    <row r="455" spans="1:59" x14ac:dyDescent="0.3">
      <c r="A455" s="4" t="s">
        <v>436</v>
      </c>
      <c r="B455" s="13"/>
      <c r="C455" s="13" t="s">
        <v>1146</v>
      </c>
      <c r="D455" s="101" t="s">
        <v>1913</v>
      </c>
      <c r="E455" s="102"/>
      <c r="F455" s="13" t="s">
        <v>2385</v>
      </c>
      <c r="G455" s="21">
        <v>57</v>
      </c>
      <c r="H455" s="21">
        <v>0</v>
      </c>
      <c r="I455" s="21">
        <f t="shared" si="410"/>
        <v>0</v>
      </c>
      <c r="J455" s="21">
        <f t="shared" si="411"/>
        <v>0</v>
      </c>
      <c r="K455" s="21">
        <f t="shared" si="412"/>
        <v>0</v>
      </c>
      <c r="L455" s="21">
        <v>0</v>
      </c>
      <c r="M455" s="21">
        <f t="shared" si="413"/>
        <v>0</v>
      </c>
      <c r="N455" s="35"/>
      <c r="O455" s="39"/>
      <c r="U455" s="41">
        <f t="shared" si="414"/>
        <v>0</v>
      </c>
      <c r="W455" s="41">
        <f t="shared" si="415"/>
        <v>0</v>
      </c>
      <c r="X455" s="41">
        <f t="shared" si="416"/>
        <v>0</v>
      </c>
      <c r="Y455" s="41">
        <f t="shared" si="417"/>
        <v>0</v>
      </c>
      <c r="Z455" s="41">
        <f t="shared" si="418"/>
        <v>0</v>
      </c>
      <c r="AA455" s="41">
        <f t="shared" si="419"/>
        <v>0</v>
      </c>
      <c r="AB455" s="41">
        <f t="shared" si="420"/>
        <v>0</v>
      </c>
      <c r="AC455" s="41">
        <f t="shared" si="421"/>
        <v>0</v>
      </c>
      <c r="AD455" s="31"/>
      <c r="AE455" s="21">
        <f t="shared" si="422"/>
        <v>0</v>
      </c>
      <c r="AF455" s="21">
        <f t="shared" si="423"/>
        <v>0</v>
      </c>
      <c r="AG455" s="21">
        <f t="shared" si="424"/>
        <v>0</v>
      </c>
      <c r="AI455" s="41">
        <v>21</v>
      </c>
      <c r="AJ455" s="41">
        <f t="shared" si="425"/>
        <v>0</v>
      </c>
      <c r="AK455" s="41">
        <f t="shared" si="426"/>
        <v>0</v>
      </c>
      <c r="AL455" s="42" t="s">
        <v>13</v>
      </c>
      <c r="AQ455" s="41">
        <f t="shared" si="427"/>
        <v>0</v>
      </c>
      <c r="AR455" s="41">
        <f t="shared" si="428"/>
        <v>0</v>
      </c>
      <c r="AS455" s="41">
        <f t="shared" si="429"/>
        <v>0</v>
      </c>
      <c r="AT455" s="44" t="s">
        <v>2441</v>
      </c>
      <c r="AU455" s="44" t="s">
        <v>2481</v>
      </c>
      <c r="AV455" s="31" t="s">
        <v>2486</v>
      </c>
      <c r="AX455" s="41">
        <f t="shared" si="430"/>
        <v>0</v>
      </c>
      <c r="AY455" s="41">
        <f t="shared" si="431"/>
        <v>0</v>
      </c>
      <c r="AZ455" s="41">
        <v>0</v>
      </c>
      <c r="BA455" s="41">
        <f t="shared" si="432"/>
        <v>0</v>
      </c>
      <c r="BC455" s="21">
        <f t="shared" si="433"/>
        <v>0</v>
      </c>
      <c r="BD455" s="21">
        <f t="shared" si="434"/>
        <v>0</v>
      </c>
      <c r="BE455" s="21">
        <f t="shared" si="435"/>
        <v>0</v>
      </c>
      <c r="BF455" s="21" t="s">
        <v>2492</v>
      </c>
      <c r="BG455" s="41">
        <v>7321</v>
      </c>
    </row>
    <row r="456" spans="1:59" x14ac:dyDescent="0.3">
      <c r="A456" s="4" t="s">
        <v>437</v>
      </c>
      <c r="B456" s="13"/>
      <c r="C456" s="13" t="s">
        <v>1146</v>
      </c>
      <c r="D456" s="101" t="s">
        <v>1914</v>
      </c>
      <c r="E456" s="102"/>
      <c r="F456" s="13" t="s">
        <v>2388</v>
      </c>
      <c r="G456" s="21">
        <v>1</v>
      </c>
      <c r="H456" s="21">
        <v>0</v>
      </c>
      <c r="I456" s="21">
        <f t="shared" si="410"/>
        <v>0</v>
      </c>
      <c r="J456" s="21">
        <f t="shared" si="411"/>
        <v>0</v>
      </c>
      <c r="K456" s="21">
        <f t="shared" si="412"/>
        <v>0</v>
      </c>
      <c r="L456" s="21">
        <v>0</v>
      </c>
      <c r="M456" s="21">
        <f t="shared" si="413"/>
        <v>0</v>
      </c>
      <c r="N456" s="35"/>
      <c r="O456" s="39"/>
      <c r="U456" s="41">
        <f t="shared" si="414"/>
        <v>0</v>
      </c>
      <c r="W456" s="41">
        <f t="shared" si="415"/>
        <v>0</v>
      </c>
      <c r="X456" s="41">
        <f t="shared" si="416"/>
        <v>0</v>
      </c>
      <c r="Y456" s="41">
        <f t="shared" si="417"/>
        <v>0</v>
      </c>
      <c r="Z456" s="41">
        <f t="shared" si="418"/>
        <v>0</v>
      </c>
      <c r="AA456" s="41">
        <f t="shared" si="419"/>
        <v>0</v>
      </c>
      <c r="AB456" s="41">
        <f t="shared" si="420"/>
        <v>0</v>
      </c>
      <c r="AC456" s="41">
        <f t="shared" si="421"/>
        <v>0</v>
      </c>
      <c r="AD456" s="31"/>
      <c r="AE456" s="21">
        <f t="shared" si="422"/>
        <v>0</v>
      </c>
      <c r="AF456" s="21">
        <f t="shared" si="423"/>
        <v>0</v>
      </c>
      <c r="AG456" s="21">
        <f t="shared" si="424"/>
        <v>0</v>
      </c>
      <c r="AI456" s="41">
        <v>21</v>
      </c>
      <c r="AJ456" s="41">
        <f t="shared" si="425"/>
        <v>0</v>
      </c>
      <c r="AK456" s="41">
        <f t="shared" si="426"/>
        <v>0</v>
      </c>
      <c r="AL456" s="42" t="s">
        <v>13</v>
      </c>
      <c r="AQ456" s="41">
        <f t="shared" si="427"/>
        <v>0</v>
      </c>
      <c r="AR456" s="41">
        <f t="shared" si="428"/>
        <v>0</v>
      </c>
      <c r="AS456" s="41">
        <f t="shared" si="429"/>
        <v>0</v>
      </c>
      <c r="AT456" s="44" t="s">
        <v>2441</v>
      </c>
      <c r="AU456" s="44" t="s">
        <v>2481</v>
      </c>
      <c r="AV456" s="31" t="s">
        <v>2486</v>
      </c>
      <c r="AX456" s="41">
        <f t="shared" si="430"/>
        <v>0</v>
      </c>
      <c r="AY456" s="41">
        <f t="shared" si="431"/>
        <v>0</v>
      </c>
      <c r="AZ456" s="41">
        <v>0</v>
      </c>
      <c r="BA456" s="41">
        <f t="shared" si="432"/>
        <v>0</v>
      </c>
      <c r="BC456" s="21">
        <f t="shared" si="433"/>
        <v>0</v>
      </c>
      <c r="BD456" s="21">
        <f t="shared" si="434"/>
        <v>0</v>
      </c>
      <c r="BE456" s="21">
        <f t="shared" si="435"/>
        <v>0</v>
      </c>
      <c r="BF456" s="21" t="s">
        <v>2492</v>
      </c>
      <c r="BG456" s="41">
        <v>7321</v>
      </c>
    </row>
    <row r="457" spans="1:59" x14ac:dyDescent="0.3">
      <c r="A457" s="4" t="s">
        <v>438</v>
      </c>
      <c r="B457" s="13"/>
      <c r="C457" s="13" t="s">
        <v>1146</v>
      </c>
      <c r="D457" s="101" t="s">
        <v>1915</v>
      </c>
      <c r="E457" s="102"/>
      <c r="F457" s="13" t="s">
        <v>2384</v>
      </c>
      <c r="G457" s="21">
        <v>1</v>
      </c>
      <c r="H457" s="21">
        <v>0</v>
      </c>
      <c r="I457" s="21">
        <f t="shared" si="410"/>
        <v>0</v>
      </c>
      <c r="J457" s="21">
        <f t="shared" si="411"/>
        <v>0</v>
      </c>
      <c r="K457" s="21">
        <f t="shared" si="412"/>
        <v>0</v>
      </c>
      <c r="L457" s="21">
        <v>0</v>
      </c>
      <c r="M457" s="21">
        <f t="shared" si="413"/>
        <v>0</v>
      </c>
      <c r="N457" s="35"/>
      <c r="O457" s="39"/>
      <c r="U457" s="41">
        <f t="shared" si="414"/>
        <v>0</v>
      </c>
      <c r="W457" s="41">
        <f t="shared" si="415"/>
        <v>0</v>
      </c>
      <c r="X457" s="41">
        <f t="shared" si="416"/>
        <v>0</v>
      </c>
      <c r="Y457" s="41">
        <f t="shared" si="417"/>
        <v>0</v>
      </c>
      <c r="Z457" s="41">
        <f t="shared" si="418"/>
        <v>0</v>
      </c>
      <c r="AA457" s="41">
        <f t="shared" si="419"/>
        <v>0</v>
      </c>
      <c r="AB457" s="41">
        <f t="shared" si="420"/>
        <v>0</v>
      </c>
      <c r="AC457" s="41">
        <f t="shared" si="421"/>
        <v>0</v>
      </c>
      <c r="AD457" s="31"/>
      <c r="AE457" s="21">
        <f t="shared" si="422"/>
        <v>0</v>
      </c>
      <c r="AF457" s="21">
        <f t="shared" si="423"/>
        <v>0</v>
      </c>
      <c r="AG457" s="21">
        <f t="shared" si="424"/>
        <v>0</v>
      </c>
      <c r="AI457" s="41">
        <v>21</v>
      </c>
      <c r="AJ457" s="41">
        <f t="shared" si="425"/>
        <v>0</v>
      </c>
      <c r="AK457" s="41">
        <f t="shared" si="426"/>
        <v>0</v>
      </c>
      <c r="AL457" s="42" t="s">
        <v>13</v>
      </c>
      <c r="AQ457" s="41">
        <f t="shared" si="427"/>
        <v>0</v>
      </c>
      <c r="AR457" s="41">
        <f t="shared" si="428"/>
        <v>0</v>
      </c>
      <c r="AS457" s="41">
        <f t="shared" si="429"/>
        <v>0</v>
      </c>
      <c r="AT457" s="44" t="s">
        <v>2441</v>
      </c>
      <c r="AU457" s="44" t="s">
        <v>2481</v>
      </c>
      <c r="AV457" s="31" t="s">
        <v>2486</v>
      </c>
      <c r="AX457" s="41">
        <f t="shared" si="430"/>
        <v>0</v>
      </c>
      <c r="AY457" s="41">
        <f t="shared" si="431"/>
        <v>0</v>
      </c>
      <c r="AZ457" s="41">
        <v>0</v>
      </c>
      <c r="BA457" s="41">
        <f t="shared" si="432"/>
        <v>0</v>
      </c>
      <c r="BC457" s="21">
        <f t="shared" si="433"/>
        <v>0</v>
      </c>
      <c r="BD457" s="21">
        <f t="shared" si="434"/>
        <v>0</v>
      </c>
      <c r="BE457" s="21">
        <f t="shared" si="435"/>
        <v>0</v>
      </c>
      <c r="BF457" s="21" t="s">
        <v>2492</v>
      </c>
      <c r="BG457" s="41">
        <v>7321</v>
      </c>
    </row>
    <row r="458" spans="1:59" x14ac:dyDescent="0.3">
      <c r="A458" s="4" t="s">
        <v>439</v>
      </c>
      <c r="B458" s="13"/>
      <c r="C458" s="13" t="s">
        <v>1146</v>
      </c>
      <c r="D458" s="101" t="s">
        <v>1916</v>
      </c>
      <c r="E458" s="102"/>
      <c r="F458" s="13" t="s">
        <v>2384</v>
      </c>
      <c r="G458" s="21">
        <v>1</v>
      </c>
      <c r="H458" s="21">
        <v>0</v>
      </c>
      <c r="I458" s="21">
        <f t="shared" si="410"/>
        <v>0</v>
      </c>
      <c r="J458" s="21">
        <f t="shared" si="411"/>
        <v>0</v>
      </c>
      <c r="K458" s="21">
        <f t="shared" si="412"/>
        <v>0</v>
      </c>
      <c r="L458" s="21">
        <v>0</v>
      </c>
      <c r="M458" s="21">
        <f t="shared" si="413"/>
        <v>0</v>
      </c>
      <c r="N458" s="35"/>
      <c r="O458" s="39"/>
      <c r="U458" s="41">
        <f t="shared" si="414"/>
        <v>0</v>
      </c>
      <c r="W458" s="41">
        <f t="shared" si="415"/>
        <v>0</v>
      </c>
      <c r="X458" s="41">
        <f t="shared" si="416"/>
        <v>0</v>
      </c>
      <c r="Y458" s="41">
        <f t="shared" si="417"/>
        <v>0</v>
      </c>
      <c r="Z458" s="41">
        <f t="shared" si="418"/>
        <v>0</v>
      </c>
      <c r="AA458" s="41">
        <f t="shared" si="419"/>
        <v>0</v>
      </c>
      <c r="AB458" s="41">
        <f t="shared" si="420"/>
        <v>0</v>
      </c>
      <c r="AC458" s="41">
        <f t="shared" si="421"/>
        <v>0</v>
      </c>
      <c r="AD458" s="31"/>
      <c r="AE458" s="21">
        <f t="shared" si="422"/>
        <v>0</v>
      </c>
      <c r="AF458" s="21">
        <f t="shared" si="423"/>
        <v>0</v>
      </c>
      <c r="AG458" s="21">
        <f t="shared" si="424"/>
        <v>0</v>
      </c>
      <c r="AI458" s="41">
        <v>21</v>
      </c>
      <c r="AJ458" s="41">
        <f t="shared" si="425"/>
        <v>0</v>
      </c>
      <c r="AK458" s="41">
        <f t="shared" si="426"/>
        <v>0</v>
      </c>
      <c r="AL458" s="42" t="s">
        <v>13</v>
      </c>
      <c r="AQ458" s="41">
        <f t="shared" si="427"/>
        <v>0</v>
      </c>
      <c r="AR458" s="41">
        <f t="shared" si="428"/>
        <v>0</v>
      </c>
      <c r="AS458" s="41">
        <f t="shared" si="429"/>
        <v>0</v>
      </c>
      <c r="AT458" s="44" t="s">
        <v>2441</v>
      </c>
      <c r="AU458" s="44" t="s">
        <v>2481</v>
      </c>
      <c r="AV458" s="31" t="s">
        <v>2486</v>
      </c>
      <c r="AX458" s="41">
        <f t="shared" si="430"/>
        <v>0</v>
      </c>
      <c r="AY458" s="41">
        <f t="shared" si="431"/>
        <v>0</v>
      </c>
      <c r="AZ458" s="41">
        <v>0</v>
      </c>
      <c r="BA458" s="41">
        <f t="shared" si="432"/>
        <v>0</v>
      </c>
      <c r="BC458" s="21">
        <f t="shared" si="433"/>
        <v>0</v>
      </c>
      <c r="BD458" s="21">
        <f t="shared" si="434"/>
        <v>0</v>
      </c>
      <c r="BE458" s="21">
        <f t="shared" si="435"/>
        <v>0</v>
      </c>
      <c r="BF458" s="21" t="s">
        <v>2492</v>
      </c>
      <c r="BG458" s="41">
        <v>7321</v>
      </c>
    </row>
    <row r="459" spans="1:59" x14ac:dyDescent="0.3">
      <c r="A459" s="4" t="s">
        <v>440</v>
      </c>
      <c r="B459" s="13"/>
      <c r="C459" s="13" t="s">
        <v>1146</v>
      </c>
      <c r="D459" s="101" t="s">
        <v>1890</v>
      </c>
      <c r="E459" s="102"/>
      <c r="F459" s="13" t="s">
        <v>2384</v>
      </c>
      <c r="G459" s="21">
        <v>10</v>
      </c>
      <c r="H459" s="21">
        <v>0</v>
      </c>
      <c r="I459" s="21">
        <f t="shared" si="410"/>
        <v>0</v>
      </c>
      <c r="J459" s="21">
        <f t="shared" si="411"/>
        <v>0</v>
      </c>
      <c r="K459" s="21">
        <f t="shared" si="412"/>
        <v>0</v>
      </c>
      <c r="L459" s="21">
        <v>0</v>
      </c>
      <c r="M459" s="21">
        <f t="shared" si="413"/>
        <v>0</v>
      </c>
      <c r="N459" s="35"/>
      <c r="O459" s="39"/>
      <c r="U459" s="41">
        <f t="shared" si="414"/>
        <v>0</v>
      </c>
      <c r="W459" s="41">
        <f t="shared" si="415"/>
        <v>0</v>
      </c>
      <c r="X459" s="41">
        <f t="shared" si="416"/>
        <v>0</v>
      </c>
      <c r="Y459" s="41">
        <f t="shared" si="417"/>
        <v>0</v>
      </c>
      <c r="Z459" s="41">
        <f t="shared" si="418"/>
        <v>0</v>
      </c>
      <c r="AA459" s="41">
        <f t="shared" si="419"/>
        <v>0</v>
      </c>
      <c r="AB459" s="41">
        <f t="shared" si="420"/>
        <v>0</v>
      </c>
      <c r="AC459" s="41">
        <f t="shared" si="421"/>
        <v>0</v>
      </c>
      <c r="AD459" s="31"/>
      <c r="AE459" s="21">
        <f t="shared" si="422"/>
        <v>0</v>
      </c>
      <c r="AF459" s="21">
        <f t="shared" si="423"/>
        <v>0</v>
      </c>
      <c r="AG459" s="21">
        <f t="shared" si="424"/>
        <v>0</v>
      </c>
      <c r="AI459" s="41">
        <v>21</v>
      </c>
      <c r="AJ459" s="41">
        <f t="shared" si="425"/>
        <v>0</v>
      </c>
      <c r="AK459" s="41">
        <f t="shared" si="426"/>
        <v>0</v>
      </c>
      <c r="AL459" s="42" t="s">
        <v>13</v>
      </c>
      <c r="AQ459" s="41">
        <f t="shared" si="427"/>
        <v>0</v>
      </c>
      <c r="AR459" s="41">
        <f t="shared" si="428"/>
        <v>0</v>
      </c>
      <c r="AS459" s="41">
        <f t="shared" si="429"/>
        <v>0</v>
      </c>
      <c r="AT459" s="44" t="s">
        <v>2441</v>
      </c>
      <c r="AU459" s="44" t="s">
        <v>2481</v>
      </c>
      <c r="AV459" s="31" t="s">
        <v>2486</v>
      </c>
      <c r="AX459" s="41">
        <f t="shared" si="430"/>
        <v>0</v>
      </c>
      <c r="AY459" s="41">
        <f t="shared" si="431"/>
        <v>0</v>
      </c>
      <c r="AZ459" s="41">
        <v>0</v>
      </c>
      <c r="BA459" s="41">
        <f t="shared" si="432"/>
        <v>0</v>
      </c>
      <c r="BC459" s="21">
        <f t="shared" si="433"/>
        <v>0</v>
      </c>
      <c r="BD459" s="21">
        <f t="shared" si="434"/>
        <v>0</v>
      </c>
      <c r="BE459" s="21">
        <f t="shared" si="435"/>
        <v>0</v>
      </c>
      <c r="BF459" s="21" t="s">
        <v>2492</v>
      </c>
      <c r="BG459" s="41">
        <v>7321</v>
      </c>
    </row>
    <row r="460" spans="1:59" x14ac:dyDescent="0.3">
      <c r="A460" s="4" t="s">
        <v>441</v>
      </c>
      <c r="B460" s="13"/>
      <c r="C460" s="13" t="s">
        <v>1146</v>
      </c>
      <c r="D460" s="101" t="s">
        <v>1890</v>
      </c>
      <c r="E460" s="102"/>
      <c r="F460" s="13" t="s">
        <v>2384</v>
      </c>
      <c r="G460" s="21">
        <v>2</v>
      </c>
      <c r="H460" s="21">
        <v>0</v>
      </c>
      <c r="I460" s="21">
        <f t="shared" si="410"/>
        <v>0</v>
      </c>
      <c r="J460" s="21">
        <f t="shared" si="411"/>
        <v>0</v>
      </c>
      <c r="K460" s="21">
        <f t="shared" si="412"/>
        <v>0</v>
      </c>
      <c r="L460" s="21">
        <v>0</v>
      </c>
      <c r="M460" s="21">
        <f t="shared" si="413"/>
        <v>0</v>
      </c>
      <c r="N460" s="35"/>
      <c r="O460" s="39"/>
      <c r="U460" s="41">
        <f t="shared" si="414"/>
        <v>0</v>
      </c>
      <c r="W460" s="41">
        <f t="shared" si="415"/>
        <v>0</v>
      </c>
      <c r="X460" s="41">
        <f t="shared" si="416"/>
        <v>0</v>
      </c>
      <c r="Y460" s="41">
        <f t="shared" si="417"/>
        <v>0</v>
      </c>
      <c r="Z460" s="41">
        <f t="shared" si="418"/>
        <v>0</v>
      </c>
      <c r="AA460" s="41">
        <f t="shared" si="419"/>
        <v>0</v>
      </c>
      <c r="AB460" s="41">
        <f t="shared" si="420"/>
        <v>0</v>
      </c>
      <c r="AC460" s="41">
        <f t="shared" si="421"/>
        <v>0</v>
      </c>
      <c r="AD460" s="31"/>
      <c r="AE460" s="21">
        <f t="shared" si="422"/>
        <v>0</v>
      </c>
      <c r="AF460" s="21">
        <f t="shared" si="423"/>
        <v>0</v>
      </c>
      <c r="AG460" s="21">
        <f t="shared" si="424"/>
        <v>0</v>
      </c>
      <c r="AI460" s="41">
        <v>21</v>
      </c>
      <c r="AJ460" s="41">
        <f t="shared" si="425"/>
        <v>0</v>
      </c>
      <c r="AK460" s="41">
        <f t="shared" si="426"/>
        <v>0</v>
      </c>
      <c r="AL460" s="42" t="s">
        <v>13</v>
      </c>
      <c r="AQ460" s="41">
        <f t="shared" si="427"/>
        <v>0</v>
      </c>
      <c r="AR460" s="41">
        <f t="shared" si="428"/>
        <v>0</v>
      </c>
      <c r="AS460" s="41">
        <f t="shared" si="429"/>
        <v>0</v>
      </c>
      <c r="AT460" s="44" t="s">
        <v>2441</v>
      </c>
      <c r="AU460" s="44" t="s">
        <v>2481</v>
      </c>
      <c r="AV460" s="31" t="s">
        <v>2486</v>
      </c>
      <c r="AX460" s="41">
        <f t="shared" si="430"/>
        <v>0</v>
      </c>
      <c r="AY460" s="41">
        <f t="shared" si="431"/>
        <v>0</v>
      </c>
      <c r="AZ460" s="41">
        <v>0</v>
      </c>
      <c r="BA460" s="41">
        <f t="shared" si="432"/>
        <v>0</v>
      </c>
      <c r="BC460" s="21">
        <f t="shared" si="433"/>
        <v>0</v>
      </c>
      <c r="BD460" s="21">
        <f t="shared" si="434"/>
        <v>0</v>
      </c>
      <c r="BE460" s="21">
        <f t="shared" si="435"/>
        <v>0</v>
      </c>
      <c r="BF460" s="21" t="s">
        <v>2492</v>
      </c>
      <c r="BG460" s="41">
        <v>7321</v>
      </c>
    </row>
    <row r="461" spans="1:59" x14ac:dyDescent="0.3">
      <c r="A461" s="4" t="s">
        <v>442</v>
      </c>
      <c r="B461" s="13"/>
      <c r="C461" s="13" t="s">
        <v>1146</v>
      </c>
      <c r="D461" s="101" t="s">
        <v>1917</v>
      </c>
      <c r="E461" s="102"/>
      <c r="F461" s="13" t="s">
        <v>2386</v>
      </c>
      <c r="G461" s="21">
        <v>5</v>
      </c>
      <c r="H461" s="21">
        <v>0</v>
      </c>
      <c r="I461" s="21">
        <f t="shared" si="410"/>
        <v>0</v>
      </c>
      <c r="J461" s="21">
        <f t="shared" si="411"/>
        <v>0</v>
      </c>
      <c r="K461" s="21">
        <f t="shared" si="412"/>
        <v>0</v>
      </c>
      <c r="L461" s="21">
        <v>0</v>
      </c>
      <c r="M461" s="21">
        <f t="shared" si="413"/>
        <v>0</v>
      </c>
      <c r="N461" s="35"/>
      <c r="O461" s="39"/>
      <c r="U461" s="41">
        <f t="shared" si="414"/>
        <v>0</v>
      </c>
      <c r="W461" s="41">
        <f t="shared" si="415"/>
        <v>0</v>
      </c>
      <c r="X461" s="41">
        <f t="shared" si="416"/>
        <v>0</v>
      </c>
      <c r="Y461" s="41">
        <f t="shared" si="417"/>
        <v>0</v>
      </c>
      <c r="Z461" s="41">
        <f t="shared" si="418"/>
        <v>0</v>
      </c>
      <c r="AA461" s="41">
        <f t="shared" si="419"/>
        <v>0</v>
      </c>
      <c r="AB461" s="41">
        <f t="shared" si="420"/>
        <v>0</v>
      </c>
      <c r="AC461" s="41">
        <f t="shared" si="421"/>
        <v>0</v>
      </c>
      <c r="AD461" s="31"/>
      <c r="AE461" s="21">
        <f t="shared" si="422"/>
        <v>0</v>
      </c>
      <c r="AF461" s="21">
        <f t="shared" si="423"/>
        <v>0</v>
      </c>
      <c r="AG461" s="21">
        <f t="shared" si="424"/>
        <v>0</v>
      </c>
      <c r="AI461" s="41">
        <v>21</v>
      </c>
      <c r="AJ461" s="41">
        <f t="shared" si="425"/>
        <v>0</v>
      </c>
      <c r="AK461" s="41">
        <f t="shared" si="426"/>
        <v>0</v>
      </c>
      <c r="AL461" s="42" t="s">
        <v>13</v>
      </c>
      <c r="AQ461" s="41">
        <f t="shared" si="427"/>
        <v>0</v>
      </c>
      <c r="AR461" s="41">
        <f t="shared" si="428"/>
        <v>0</v>
      </c>
      <c r="AS461" s="41">
        <f t="shared" si="429"/>
        <v>0</v>
      </c>
      <c r="AT461" s="44" t="s">
        <v>2441</v>
      </c>
      <c r="AU461" s="44" t="s">
        <v>2481</v>
      </c>
      <c r="AV461" s="31" t="s">
        <v>2486</v>
      </c>
      <c r="AX461" s="41">
        <f t="shared" si="430"/>
        <v>0</v>
      </c>
      <c r="AY461" s="41">
        <f t="shared" si="431"/>
        <v>0</v>
      </c>
      <c r="AZ461" s="41">
        <v>0</v>
      </c>
      <c r="BA461" s="41">
        <f t="shared" si="432"/>
        <v>0</v>
      </c>
      <c r="BC461" s="21">
        <f t="shared" si="433"/>
        <v>0</v>
      </c>
      <c r="BD461" s="21">
        <f t="shared" si="434"/>
        <v>0</v>
      </c>
      <c r="BE461" s="21">
        <f t="shared" si="435"/>
        <v>0</v>
      </c>
      <c r="BF461" s="21" t="s">
        <v>2492</v>
      </c>
      <c r="BG461" s="41">
        <v>7321</v>
      </c>
    </row>
    <row r="462" spans="1:59" x14ac:dyDescent="0.3">
      <c r="A462" s="4" t="s">
        <v>443</v>
      </c>
      <c r="B462" s="13"/>
      <c r="C462" s="13" t="s">
        <v>1146</v>
      </c>
      <c r="D462" s="101" t="s">
        <v>1918</v>
      </c>
      <c r="E462" s="102"/>
      <c r="F462" s="13" t="s">
        <v>2386</v>
      </c>
      <c r="G462" s="21">
        <v>1</v>
      </c>
      <c r="H462" s="21">
        <v>0</v>
      </c>
      <c r="I462" s="21">
        <f t="shared" si="410"/>
        <v>0</v>
      </c>
      <c r="J462" s="21">
        <f t="shared" si="411"/>
        <v>0</v>
      </c>
      <c r="K462" s="21">
        <f t="shared" si="412"/>
        <v>0</v>
      </c>
      <c r="L462" s="21">
        <v>0</v>
      </c>
      <c r="M462" s="21">
        <f t="shared" si="413"/>
        <v>0</v>
      </c>
      <c r="N462" s="35"/>
      <c r="O462" s="39"/>
      <c r="U462" s="41">
        <f t="shared" si="414"/>
        <v>0</v>
      </c>
      <c r="W462" s="41">
        <f t="shared" si="415"/>
        <v>0</v>
      </c>
      <c r="X462" s="41">
        <f t="shared" si="416"/>
        <v>0</v>
      </c>
      <c r="Y462" s="41">
        <f t="shared" si="417"/>
        <v>0</v>
      </c>
      <c r="Z462" s="41">
        <f t="shared" si="418"/>
        <v>0</v>
      </c>
      <c r="AA462" s="41">
        <f t="shared" si="419"/>
        <v>0</v>
      </c>
      <c r="AB462" s="41">
        <f t="shared" si="420"/>
        <v>0</v>
      </c>
      <c r="AC462" s="41">
        <f t="shared" si="421"/>
        <v>0</v>
      </c>
      <c r="AD462" s="31"/>
      <c r="AE462" s="21">
        <f t="shared" si="422"/>
        <v>0</v>
      </c>
      <c r="AF462" s="21">
        <f t="shared" si="423"/>
        <v>0</v>
      </c>
      <c r="AG462" s="21">
        <f t="shared" si="424"/>
        <v>0</v>
      </c>
      <c r="AI462" s="41">
        <v>21</v>
      </c>
      <c r="AJ462" s="41">
        <f t="shared" si="425"/>
        <v>0</v>
      </c>
      <c r="AK462" s="41">
        <f t="shared" si="426"/>
        <v>0</v>
      </c>
      <c r="AL462" s="42" t="s">
        <v>13</v>
      </c>
      <c r="AQ462" s="41">
        <f t="shared" si="427"/>
        <v>0</v>
      </c>
      <c r="AR462" s="41">
        <f t="shared" si="428"/>
        <v>0</v>
      </c>
      <c r="AS462" s="41">
        <f t="shared" si="429"/>
        <v>0</v>
      </c>
      <c r="AT462" s="44" t="s">
        <v>2441</v>
      </c>
      <c r="AU462" s="44" t="s">
        <v>2481</v>
      </c>
      <c r="AV462" s="31" t="s">
        <v>2486</v>
      </c>
      <c r="AX462" s="41">
        <f t="shared" si="430"/>
        <v>0</v>
      </c>
      <c r="AY462" s="41">
        <f t="shared" si="431"/>
        <v>0</v>
      </c>
      <c r="AZ462" s="41">
        <v>0</v>
      </c>
      <c r="BA462" s="41">
        <f t="shared" si="432"/>
        <v>0</v>
      </c>
      <c r="BC462" s="21">
        <f t="shared" si="433"/>
        <v>0</v>
      </c>
      <c r="BD462" s="21">
        <f t="shared" si="434"/>
        <v>0</v>
      </c>
      <c r="BE462" s="21">
        <f t="shared" si="435"/>
        <v>0</v>
      </c>
      <c r="BF462" s="21" t="s">
        <v>2492</v>
      </c>
      <c r="BG462" s="41">
        <v>7321</v>
      </c>
    </row>
    <row r="463" spans="1:59" x14ac:dyDescent="0.3">
      <c r="A463" s="4" t="s">
        <v>444</v>
      </c>
      <c r="B463" s="13"/>
      <c r="C463" s="13" t="s">
        <v>1146</v>
      </c>
      <c r="D463" s="101" t="s">
        <v>1877</v>
      </c>
      <c r="E463" s="102"/>
      <c r="F463" s="13" t="s">
        <v>2384</v>
      </c>
      <c r="G463" s="21">
        <v>14</v>
      </c>
      <c r="H463" s="21">
        <v>0</v>
      </c>
      <c r="I463" s="21">
        <f t="shared" si="410"/>
        <v>0</v>
      </c>
      <c r="J463" s="21">
        <f t="shared" si="411"/>
        <v>0</v>
      </c>
      <c r="K463" s="21">
        <f t="shared" si="412"/>
        <v>0</v>
      </c>
      <c r="L463" s="21">
        <v>0</v>
      </c>
      <c r="M463" s="21">
        <f t="shared" si="413"/>
        <v>0</v>
      </c>
      <c r="N463" s="35"/>
      <c r="O463" s="39"/>
      <c r="U463" s="41">
        <f t="shared" si="414"/>
        <v>0</v>
      </c>
      <c r="W463" s="41">
        <f t="shared" si="415"/>
        <v>0</v>
      </c>
      <c r="X463" s="41">
        <f t="shared" si="416"/>
        <v>0</v>
      </c>
      <c r="Y463" s="41">
        <f t="shared" si="417"/>
        <v>0</v>
      </c>
      <c r="Z463" s="41">
        <f t="shared" si="418"/>
        <v>0</v>
      </c>
      <c r="AA463" s="41">
        <f t="shared" si="419"/>
        <v>0</v>
      </c>
      <c r="AB463" s="41">
        <f t="shared" si="420"/>
        <v>0</v>
      </c>
      <c r="AC463" s="41">
        <f t="shared" si="421"/>
        <v>0</v>
      </c>
      <c r="AD463" s="31"/>
      <c r="AE463" s="21">
        <f t="shared" si="422"/>
        <v>0</v>
      </c>
      <c r="AF463" s="21">
        <f t="shared" si="423"/>
        <v>0</v>
      </c>
      <c r="AG463" s="21">
        <f t="shared" si="424"/>
        <v>0</v>
      </c>
      <c r="AI463" s="41">
        <v>21</v>
      </c>
      <c r="AJ463" s="41">
        <f t="shared" si="425"/>
        <v>0</v>
      </c>
      <c r="AK463" s="41">
        <f t="shared" si="426"/>
        <v>0</v>
      </c>
      <c r="AL463" s="42" t="s">
        <v>13</v>
      </c>
      <c r="AQ463" s="41">
        <f t="shared" si="427"/>
        <v>0</v>
      </c>
      <c r="AR463" s="41">
        <f t="shared" si="428"/>
        <v>0</v>
      </c>
      <c r="AS463" s="41">
        <f t="shared" si="429"/>
        <v>0</v>
      </c>
      <c r="AT463" s="44" t="s">
        <v>2441</v>
      </c>
      <c r="AU463" s="44" t="s">
        <v>2481</v>
      </c>
      <c r="AV463" s="31" t="s">
        <v>2486</v>
      </c>
      <c r="AX463" s="41">
        <f t="shared" si="430"/>
        <v>0</v>
      </c>
      <c r="AY463" s="41">
        <f t="shared" si="431"/>
        <v>0</v>
      </c>
      <c r="AZ463" s="41">
        <v>0</v>
      </c>
      <c r="BA463" s="41">
        <f t="shared" si="432"/>
        <v>0</v>
      </c>
      <c r="BC463" s="21">
        <f t="shared" si="433"/>
        <v>0</v>
      </c>
      <c r="BD463" s="21">
        <f t="shared" si="434"/>
        <v>0</v>
      </c>
      <c r="BE463" s="21">
        <f t="shared" si="435"/>
        <v>0</v>
      </c>
      <c r="BF463" s="21" t="s">
        <v>2492</v>
      </c>
      <c r="BG463" s="41">
        <v>7321</v>
      </c>
    </row>
    <row r="464" spans="1:59" x14ac:dyDescent="0.3">
      <c r="A464" s="4" t="s">
        <v>445</v>
      </c>
      <c r="B464" s="13"/>
      <c r="C464" s="13" t="s">
        <v>1146</v>
      </c>
      <c r="D464" s="101" t="s">
        <v>1879</v>
      </c>
      <c r="E464" s="102"/>
      <c r="F464" s="13" t="s">
        <v>2384</v>
      </c>
      <c r="G464" s="21">
        <v>9</v>
      </c>
      <c r="H464" s="21">
        <v>0</v>
      </c>
      <c r="I464" s="21">
        <f t="shared" si="410"/>
        <v>0</v>
      </c>
      <c r="J464" s="21">
        <f t="shared" si="411"/>
        <v>0</v>
      </c>
      <c r="K464" s="21">
        <f t="shared" si="412"/>
        <v>0</v>
      </c>
      <c r="L464" s="21">
        <v>0</v>
      </c>
      <c r="M464" s="21">
        <f t="shared" si="413"/>
        <v>0</v>
      </c>
      <c r="N464" s="35"/>
      <c r="O464" s="39"/>
      <c r="U464" s="41">
        <f t="shared" si="414"/>
        <v>0</v>
      </c>
      <c r="W464" s="41">
        <f t="shared" si="415"/>
        <v>0</v>
      </c>
      <c r="X464" s="41">
        <f t="shared" si="416"/>
        <v>0</v>
      </c>
      <c r="Y464" s="41">
        <f t="shared" si="417"/>
        <v>0</v>
      </c>
      <c r="Z464" s="41">
        <f t="shared" si="418"/>
        <v>0</v>
      </c>
      <c r="AA464" s="41">
        <f t="shared" si="419"/>
        <v>0</v>
      </c>
      <c r="AB464" s="41">
        <f t="shared" si="420"/>
        <v>0</v>
      </c>
      <c r="AC464" s="41">
        <f t="shared" si="421"/>
        <v>0</v>
      </c>
      <c r="AD464" s="31"/>
      <c r="AE464" s="21">
        <f t="shared" si="422"/>
        <v>0</v>
      </c>
      <c r="AF464" s="21">
        <f t="shared" si="423"/>
        <v>0</v>
      </c>
      <c r="AG464" s="21">
        <f t="shared" si="424"/>
        <v>0</v>
      </c>
      <c r="AI464" s="41">
        <v>21</v>
      </c>
      <c r="AJ464" s="41">
        <f t="shared" si="425"/>
        <v>0</v>
      </c>
      <c r="AK464" s="41">
        <f t="shared" si="426"/>
        <v>0</v>
      </c>
      <c r="AL464" s="42" t="s">
        <v>13</v>
      </c>
      <c r="AQ464" s="41">
        <f t="shared" si="427"/>
        <v>0</v>
      </c>
      <c r="AR464" s="41">
        <f t="shared" si="428"/>
        <v>0</v>
      </c>
      <c r="AS464" s="41">
        <f t="shared" si="429"/>
        <v>0</v>
      </c>
      <c r="AT464" s="44" t="s">
        <v>2441</v>
      </c>
      <c r="AU464" s="44" t="s">
        <v>2481</v>
      </c>
      <c r="AV464" s="31" t="s">
        <v>2486</v>
      </c>
      <c r="AX464" s="41">
        <f t="shared" si="430"/>
        <v>0</v>
      </c>
      <c r="AY464" s="41">
        <f t="shared" si="431"/>
        <v>0</v>
      </c>
      <c r="AZ464" s="41">
        <v>0</v>
      </c>
      <c r="BA464" s="41">
        <f t="shared" si="432"/>
        <v>0</v>
      </c>
      <c r="BC464" s="21">
        <f t="shared" si="433"/>
        <v>0</v>
      </c>
      <c r="BD464" s="21">
        <f t="shared" si="434"/>
        <v>0</v>
      </c>
      <c r="BE464" s="21">
        <f t="shared" si="435"/>
        <v>0</v>
      </c>
      <c r="BF464" s="21" t="s">
        <v>2492</v>
      </c>
      <c r="BG464" s="41">
        <v>7321</v>
      </c>
    </row>
    <row r="465" spans="1:59" x14ac:dyDescent="0.3">
      <c r="A465" s="4" t="s">
        <v>446</v>
      </c>
      <c r="B465" s="13"/>
      <c r="C465" s="13" t="s">
        <v>1146</v>
      </c>
      <c r="D465" s="101" t="s">
        <v>1878</v>
      </c>
      <c r="E465" s="102"/>
      <c r="F465" s="13" t="s">
        <v>2385</v>
      </c>
      <c r="G465" s="21">
        <v>59</v>
      </c>
      <c r="H465" s="21">
        <v>0</v>
      </c>
      <c r="I465" s="21">
        <f t="shared" si="410"/>
        <v>0</v>
      </c>
      <c r="J465" s="21">
        <f t="shared" si="411"/>
        <v>0</v>
      </c>
      <c r="K465" s="21">
        <f t="shared" si="412"/>
        <v>0</v>
      </c>
      <c r="L465" s="21">
        <v>0</v>
      </c>
      <c r="M465" s="21">
        <f t="shared" si="413"/>
        <v>0</v>
      </c>
      <c r="N465" s="35"/>
      <c r="O465" s="39"/>
      <c r="U465" s="41">
        <f t="shared" si="414"/>
        <v>0</v>
      </c>
      <c r="W465" s="41">
        <f t="shared" si="415"/>
        <v>0</v>
      </c>
      <c r="X465" s="41">
        <f t="shared" si="416"/>
        <v>0</v>
      </c>
      <c r="Y465" s="41">
        <f t="shared" si="417"/>
        <v>0</v>
      </c>
      <c r="Z465" s="41">
        <f t="shared" si="418"/>
        <v>0</v>
      </c>
      <c r="AA465" s="41">
        <f t="shared" si="419"/>
        <v>0</v>
      </c>
      <c r="AB465" s="41">
        <f t="shared" si="420"/>
        <v>0</v>
      </c>
      <c r="AC465" s="41">
        <f t="shared" si="421"/>
        <v>0</v>
      </c>
      <c r="AD465" s="31"/>
      <c r="AE465" s="21">
        <f t="shared" si="422"/>
        <v>0</v>
      </c>
      <c r="AF465" s="21">
        <f t="shared" si="423"/>
        <v>0</v>
      </c>
      <c r="AG465" s="21">
        <f t="shared" si="424"/>
        <v>0</v>
      </c>
      <c r="AI465" s="41">
        <v>21</v>
      </c>
      <c r="AJ465" s="41">
        <f t="shared" si="425"/>
        <v>0</v>
      </c>
      <c r="AK465" s="41">
        <f t="shared" si="426"/>
        <v>0</v>
      </c>
      <c r="AL465" s="42" t="s">
        <v>13</v>
      </c>
      <c r="AQ465" s="41">
        <f t="shared" si="427"/>
        <v>0</v>
      </c>
      <c r="AR465" s="41">
        <f t="shared" si="428"/>
        <v>0</v>
      </c>
      <c r="AS465" s="41">
        <f t="shared" si="429"/>
        <v>0</v>
      </c>
      <c r="AT465" s="44" t="s">
        <v>2441</v>
      </c>
      <c r="AU465" s="44" t="s">
        <v>2481</v>
      </c>
      <c r="AV465" s="31" t="s">
        <v>2486</v>
      </c>
      <c r="AX465" s="41">
        <f t="shared" si="430"/>
        <v>0</v>
      </c>
      <c r="AY465" s="41">
        <f t="shared" si="431"/>
        <v>0</v>
      </c>
      <c r="AZ465" s="41">
        <v>0</v>
      </c>
      <c r="BA465" s="41">
        <f t="shared" si="432"/>
        <v>0</v>
      </c>
      <c r="BC465" s="21">
        <f t="shared" si="433"/>
        <v>0</v>
      </c>
      <c r="BD465" s="21">
        <f t="shared" si="434"/>
        <v>0</v>
      </c>
      <c r="BE465" s="21">
        <f t="shared" si="435"/>
        <v>0</v>
      </c>
      <c r="BF465" s="21" t="s">
        <v>2492</v>
      </c>
      <c r="BG465" s="41">
        <v>7321</v>
      </c>
    </row>
    <row r="466" spans="1:59" x14ac:dyDescent="0.3">
      <c r="A466" s="4" t="s">
        <v>447</v>
      </c>
      <c r="B466" s="13"/>
      <c r="C466" s="13" t="s">
        <v>1146</v>
      </c>
      <c r="D466" s="101" t="s">
        <v>1878</v>
      </c>
      <c r="E466" s="102"/>
      <c r="F466" s="13" t="s">
        <v>2385</v>
      </c>
      <c r="G466" s="21">
        <v>6</v>
      </c>
      <c r="H466" s="21">
        <v>0</v>
      </c>
      <c r="I466" s="21">
        <f t="shared" si="410"/>
        <v>0</v>
      </c>
      <c r="J466" s="21">
        <f t="shared" si="411"/>
        <v>0</v>
      </c>
      <c r="K466" s="21">
        <f t="shared" si="412"/>
        <v>0</v>
      </c>
      <c r="L466" s="21">
        <v>0</v>
      </c>
      <c r="M466" s="21">
        <f t="shared" si="413"/>
        <v>0</v>
      </c>
      <c r="N466" s="35"/>
      <c r="O466" s="39"/>
      <c r="U466" s="41">
        <f t="shared" si="414"/>
        <v>0</v>
      </c>
      <c r="W466" s="41">
        <f t="shared" si="415"/>
        <v>0</v>
      </c>
      <c r="X466" s="41">
        <f t="shared" si="416"/>
        <v>0</v>
      </c>
      <c r="Y466" s="41">
        <f t="shared" si="417"/>
        <v>0</v>
      </c>
      <c r="Z466" s="41">
        <f t="shared" si="418"/>
        <v>0</v>
      </c>
      <c r="AA466" s="41">
        <f t="shared" si="419"/>
        <v>0</v>
      </c>
      <c r="AB466" s="41">
        <f t="shared" si="420"/>
        <v>0</v>
      </c>
      <c r="AC466" s="41">
        <f t="shared" si="421"/>
        <v>0</v>
      </c>
      <c r="AD466" s="31"/>
      <c r="AE466" s="21">
        <f t="shared" si="422"/>
        <v>0</v>
      </c>
      <c r="AF466" s="21">
        <f t="shared" si="423"/>
        <v>0</v>
      </c>
      <c r="AG466" s="21">
        <f t="shared" si="424"/>
        <v>0</v>
      </c>
      <c r="AI466" s="41">
        <v>21</v>
      </c>
      <c r="AJ466" s="41">
        <f t="shared" si="425"/>
        <v>0</v>
      </c>
      <c r="AK466" s="41">
        <f t="shared" si="426"/>
        <v>0</v>
      </c>
      <c r="AL466" s="42" t="s">
        <v>13</v>
      </c>
      <c r="AQ466" s="41">
        <f t="shared" si="427"/>
        <v>0</v>
      </c>
      <c r="AR466" s="41">
        <f t="shared" si="428"/>
        <v>0</v>
      </c>
      <c r="AS466" s="41">
        <f t="shared" si="429"/>
        <v>0</v>
      </c>
      <c r="AT466" s="44" t="s">
        <v>2441</v>
      </c>
      <c r="AU466" s="44" t="s">
        <v>2481</v>
      </c>
      <c r="AV466" s="31" t="s">
        <v>2486</v>
      </c>
      <c r="AX466" s="41">
        <f t="shared" si="430"/>
        <v>0</v>
      </c>
      <c r="AY466" s="41">
        <f t="shared" si="431"/>
        <v>0</v>
      </c>
      <c r="AZ466" s="41">
        <v>0</v>
      </c>
      <c r="BA466" s="41">
        <f t="shared" si="432"/>
        <v>0</v>
      </c>
      <c r="BC466" s="21">
        <f t="shared" si="433"/>
        <v>0</v>
      </c>
      <c r="BD466" s="21">
        <f t="shared" si="434"/>
        <v>0</v>
      </c>
      <c r="BE466" s="21">
        <f t="shared" si="435"/>
        <v>0</v>
      </c>
      <c r="BF466" s="21" t="s">
        <v>2492</v>
      </c>
      <c r="BG466" s="41">
        <v>7321</v>
      </c>
    </row>
    <row r="467" spans="1:59" x14ac:dyDescent="0.3">
      <c r="A467" s="4" t="s">
        <v>448</v>
      </c>
      <c r="B467" s="13"/>
      <c r="C467" s="13" t="s">
        <v>1146</v>
      </c>
      <c r="D467" s="101" t="s">
        <v>1919</v>
      </c>
      <c r="E467" s="102"/>
      <c r="F467" s="13" t="s">
        <v>2385</v>
      </c>
      <c r="G467" s="21">
        <v>61</v>
      </c>
      <c r="H467" s="21">
        <v>0</v>
      </c>
      <c r="I467" s="21">
        <f t="shared" si="410"/>
        <v>0</v>
      </c>
      <c r="J467" s="21">
        <f t="shared" si="411"/>
        <v>0</v>
      </c>
      <c r="K467" s="21">
        <f t="shared" si="412"/>
        <v>0</v>
      </c>
      <c r="L467" s="21">
        <v>0</v>
      </c>
      <c r="M467" s="21">
        <f t="shared" si="413"/>
        <v>0</v>
      </c>
      <c r="N467" s="35"/>
      <c r="O467" s="39"/>
      <c r="U467" s="41">
        <f t="shared" si="414"/>
        <v>0</v>
      </c>
      <c r="W467" s="41">
        <f t="shared" si="415"/>
        <v>0</v>
      </c>
      <c r="X467" s="41">
        <f t="shared" si="416"/>
        <v>0</v>
      </c>
      <c r="Y467" s="41">
        <f t="shared" si="417"/>
        <v>0</v>
      </c>
      <c r="Z467" s="41">
        <f t="shared" si="418"/>
        <v>0</v>
      </c>
      <c r="AA467" s="41">
        <f t="shared" si="419"/>
        <v>0</v>
      </c>
      <c r="AB467" s="41">
        <f t="shared" si="420"/>
        <v>0</v>
      </c>
      <c r="AC467" s="41">
        <f t="shared" si="421"/>
        <v>0</v>
      </c>
      <c r="AD467" s="31"/>
      <c r="AE467" s="21">
        <f t="shared" si="422"/>
        <v>0</v>
      </c>
      <c r="AF467" s="21">
        <f t="shared" si="423"/>
        <v>0</v>
      </c>
      <c r="AG467" s="21">
        <f t="shared" si="424"/>
        <v>0</v>
      </c>
      <c r="AI467" s="41">
        <v>21</v>
      </c>
      <c r="AJ467" s="41">
        <f t="shared" si="425"/>
        <v>0</v>
      </c>
      <c r="AK467" s="41">
        <f t="shared" si="426"/>
        <v>0</v>
      </c>
      <c r="AL467" s="42" t="s">
        <v>13</v>
      </c>
      <c r="AQ467" s="41">
        <f t="shared" si="427"/>
        <v>0</v>
      </c>
      <c r="AR467" s="41">
        <f t="shared" si="428"/>
        <v>0</v>
      </c>
      <c r="AS467" s="41">
        <f t="shared" si="429"/>
        <v>0</v>
      </c>
      <c r="AT467" s="44" t="s">
        <v>2441</v>
      </c>
      <c r="AU467" s="44" t="s">
        <v>2481</v>
      </c>
      <c r="AV467" s="31" t="s">
        <v>2486</v>
      </c>
      <c r="AX467" s="41">
        <f t="shared" si="430"/>
        <v>0</v>
      </c>
      <c r="AY467" s="41">
        <f t="shared" si="431"/>
        <v>0</v>
      </c>
      <c r="AZ467" s="41">
        <v>0</v>
      </c>
      <c r="BA467" s="41">
        <f t="shared" si="432"/>
        <v>0</v>
      </c>
      <c r="BC467" s="21">
        <f t="shared" si="433"/>
        <v>0</v>
      </c>
      <c r="BD467" s="21">
        <f t="shared" si="434"/>
        <v>0</v>
      </c>
      <c r="BE467" s="21">
        <f t="shared" si="435"/>
        <v>0</v>
      </c>
      <c r="BF467" s="21" t="s">
        <v>2492</v>
      </c>
      <c r="BG467" s="41">
        <v>7321</v>
      </c>
    </row>
    <row r="468" spans="1:59" x14ac:dyDescent="0.3">
      <c r="A468" s="4" t="s">
        <v>449</v>
      </c>
      <c r="B468" s="13"/>
      <c r="C468" s="13" t="s">
        <v>1146</v>
      </c>
      <c r="D468" s="101" t="s">
        <v>1919</v>
      </c>
      <c r="E468" s="102"/>
      <c r="F468" s="13" t="s">
        <v>2385</v>
      </c>
      <c r="G468" s="21">
        <v>12</v>
      </c>
      <c r="H468" s="21">
        <v>0</v>
      </c>
      <c r="I468" s="21">
        <f t="shared" si="410"/>
        <v>0</v>
      </c>
      <c r="J468" s="21">
        <f t="shared" si="411"/>
        <v>0</v>
      </c>
      <c r="K468" s="21">
        <f t="shared" si="412"/>
        <v>0</v>
      </c>
      <c r="L468" s="21">
        <v>0</v>
      </c>
      <c r="M468" s="21">
        <f t="shared" si="413"/>
        <v>0</v>
      </c>
      <c r="N468" s="35"/>
      <c r="O468" s="39"/>
      <c r="U468" s="41">
        <f t="shared" si="414"/>
        <v>0</v>
      </c>
      <c r="W468" s="41">
        <f t="shared" si="415"/>
        <v>0</v>
      </c>
      <c r="X468" s="41">
        <f t="shared" si="416"/>
        <v>0</v>
      </c>
      <c r="Y468" s="41">
        <f t="shared" si="417"/>
        <v>0</v>
      </c>
      <c r="Z468" s="41">
        <f t="shared" si="418"/>
        <v>0</v>
      </c>
      <c r="AA468" s="41">
        <f t="shared" si="419"/>
        <v>0</v>
      </c>
      <c r="AB468" s="41">
        <f t="shared" si="420"/>
        <v>0</v>
      </c>
      <c r="AC468" s="41">
        <f t="shared" si="421"/>
        <v>0</v>
      </c>
      <c r="AD468" s="31"/>
      <c r="AE468" s="21">
        <f t="shared" si="422"/>
        <v>0</v>
      </c>
      <c r="AF468" s="21">
        <f t="shared" si="423"/>
        <v>0</v>
      </c>
      <c r="AG468" s="21">
        <f t="shared" si="424"/>
        <v>0</v>
      </c>
      <c r="AI468" s="41">
        <v>21</v>
      </c>
      <c r="AJ468" s="41">
        <f t="shared" si="425"/>
        <v>0</v>
      </c>
      <c r="AK468" s="41">
        <f t="shared" si="426"/>
        <v>0</v>
      </c>
      <c r="AL468" s="42" t="s">
        <v>13</v>
      </c>
      <c r="AQ468" s="41">
        <f t="shared" si="427"/>
        <v>0</v>
      </c>
      <c r="AR468" s="41">
        <f t="shared" si="428"/>
        <v>0</v>
      </c>
      <c r="AS468" s="41">
        <f t="shared" si="429"/>
        <v>0</v>
      </c>
      <c r="AT468" s="44" t="s">
        <v>2441</v>
      </c>
      <c r="AU468" s="44" t="s">
        <v>2481</v>
      </c>
      <c r="AV468" s="31" t="s">
        <v>2486</v>
      </c>
      <c r="AX468" s="41">
        <f t="shared" si="430"/>
        <v>0</v>
      </c>
      <c r="AY468" s="41">
        <f t="shared" si="431"/>
        <v>0</v>
      </c>
      <c r="AZ468" s="41">
        <v>0</v>
      </c>
      <c r="BA468" s="41">
        <f t="shared" si="432"/>
        <v>0</v>
      </c>
      <c r="BC468" s="21">
        <f t="shared" si="433"/>
        <v>0</v>
      </c>
      <c r="BD468" s="21">
        <f t="shared" si="434"/>
        <v>0</v>
      </c>
      <c r="BE468" s="21">
        <f t="shared" si="435"/>
        <v>0</v>
      </c>
      <c r="BF468" s="21" t="s">
        <v>2492</v>
      </c>
      <c r="BG468" s="41">
        <v>7321</v>
      </c>
    </row>
    <row r="469" spans="1:59" x14ac:dyDescent="0.3">
      <c r="A469" s="4" t="s">
        <v>450</v>
      </c>
      <c r="B469" s="13"/>
      <c r="C469" s="13" t="s">
        <v>1146</v>
      </c>
      <c r="D469" s="101" t="s">
        <v>1919</v>
      </c>
      <c r="E469" s="102"/>
      <c r="F469" s="13" t="s">
        <v>2385</v>
      </c>
      <c r="G469" s="21">
        <v>4</v>
      </c>
      <c r="H469" s="21">
        <v>0</v>
      </c>
      <c r="I469" s="21">
        <f t="shared" si="410"/>
        <v>0</v>
      </c>
      <c r="J469" s="21">
        <f t="shared" si="411"/>
        <v>0</v>
      </c>
      <c r="K469" s="21">
        <f t="shared" si="412"/>
        <v>0</v>
      </c>
      <c r="L469" s="21">
        <v>0</v>
      </c>
      <c r="M469" s="21">
        <f t="shared" si="413"/>
        <v>0</v>
      </c>
      <c r="N469" s="35"/>
      <c r="O469" s="39"/>
      <c r="U469" s="41">
        <f t="shared" si="414"/>
        <v>0</v>
      </c>
      <c r="W469" s="41">
        <f t="shared" si="415"/>
        <v>0</v>
      </c>
      <c r="X469" s="41">
        <f t="shared" si="416"/>
        <v>0</v>
      </c>
      <c r="Y469" s="41">
        <f t="shared" si="417"/>
        <v>0</v>
      </c>
      <c r="Z469" s="41">
        <f t="shared" si="418"/>
        <v>0</v>
      </c>
      <c r="AA469" s="41">
        <f t="shared" si="419"/>
        <v>0</v>
      </c>
      <c r="AB469" s="41">
        <f t="shared" si="420"/>
        <v>0</v>
      </c>
      <c r="AC469" s="41">
        <f t="shared" si="421"/>
        <v>0</v>
      </c>
      <c r="AD469" s="31"/>
      <c r="AE469" s="21">
        <f t="shared" si="422"/>
        <v>0</v>
      </c>
      <c r="AF469" s="21">
        <f t="shared" si="423"/>
        <v>0</v>
      </c>
      <c r="AG469" s="21">
        <f t="shared" si="424"/>
        <v>0</v>
      </c>
      <c r="AI469" s="41">
        <v>21</v>
      </c>
      <c r="AJ469" s="41">
        <f t="shared" si="425"/>
        <v>0</v>
      </c>
      <c r="AK469" s="41">
        <f t="shared" si="426"/>
        <v>0</v>
      </c>
      <c r="AL469" s="42" t="s">
        <v>13</v>
      </c>
      <c r="AQ469" s="41">
        <f t="shared" si="427"/>
        <v>0</v>
      </c>
      <c r="AR469" s="41">
        <f t="shared" si="428"/>
        <v>0</v>
      </c>
      <c r="AS469" s="41">
        <f t="shared" si="429"/>
        <v>0</v>
      </c>
      <c r="AT469" s="44" t="s">
        <v>2441</v>
      </c>
      <c r="AU469" s="44" t="s">
        <v>2481</v>
      </c>
      <c r="AV469" s="31" t="s">
        <v>2486</v>
      </c>
      <c r="AX469" s="41">
        <f t="shared" si="430"/>
        <v>0</v>
      </c>
      <c r="AY469" s="41">
        <f t="shared" si="431"/>
        <v>0</v>
      </c>
      <c r="AZ469" s="41">
        <v>0</v>
      </c>
      <c r="BA469" s="41">
        <f t="shared" si="432"/>
        <v>0</v>
      </c>
      <c r="BC469" s="21">
        <f t="shared" si="433"/>
        <v>0</v>
      </c>
      <c r="BD469" s="21">
        <f t="shared" si="434"/>
        <v>0</v>
      </c>
      <c r="BE469" s="21">
        <f t="shared" si="435"/>
        <v>0</v>
      </c>
      <c r="BF469" s="21" t="s">
        <v>2492</v>
      </c>
      <c r="BG469" s="41">
        <v>7321</v>
      </c>
    </row>
    <row r="470" spans="1:59" x14ac:dyDescent="0.3">
      <c r="A470" s="4" t="s">
        <v>451</v>
      </c>
      <c r="B470" s="13"/>
      <c r="C470" s="13" t="s">
        <v>1146</v>
      </c>
      <c r="D470" s="101" t="s">
        <v>1920</v>
      </c>
      <c r="E470" s="102"/>
      <c r="F470" s="13" t="s">
        <v>2385</v>
      </c>
      <c r="G470" s="21">
        <v>59</v>
      </c>
      <c r="H470" s="21">
        <v>0</v>
      </c>
      <c r="I470" s="21">
        <f t="shared" si="410"/>
        <v>0</v>
      </c>
      <c r="J470" s="21">
        <f t="shared" si="411"/>
        <v>0</v>
      </c>
      <c r="K470" s="21">
        <f t="shared" si="412"/>
        <v>0</v>
      </c>
      <c r="L470" s="21">
        <v>0</v>
      </c>
      <c r="M470" s="21">
        <f t="shared" si="413"/>
        <v>0</v>
      </c>
      <c r="N470" s="35"/>
      <c r="O470" s="39"/>
      <c r="U470" s="41">
        <f t="shared" si="414"/>
        <v>0</v>
      </c>
      <c r="W470" s="41">
        <f t="shared" si="415"/>
        <v>0</v>
      </c>
      <c r="X470" s="41">
        <f t="shared" si="416"/>
        <v>0</v>
      </c>
      <c r="Y470" s="41">
        <f t="shared" si="417"/>
        <v>0</v>
      </c>
      <c r="Z470" s="41">
        <f t="shared" si="418"/>
        <v>0</v>
      </c>
      <c r="AA470" s="41">
        <f t="shared" si="419"/>
        <v>0</v>
      </c>
      <c r="AB470" s="41">
        <f t="shared" si="420"/>
        <v>0</v>
      </c>
      <c r="AC470" s="41">
        <f t="shared" si="421"/>
        <v>0</v>
      </c>
      <c r="AD470" s="31"/>
      <c r="AE470" s="21">
        <f t="shared" si="422"/>
        <v>0</v>
      </c>
      <c r="AF470" s="21">
        <f t="shared" si="423"/>
        <v>0</v>
      </c>
      <c r="AG470" s="21">
        <f t="shared" si="424"/>
        <v>0</v>
      </c>
      <c r="AI470" s="41">
        <v>21</v>
      </c>
      <c r="AJ470" s="41">
        <f t="shared" si="425"/>
        <v>0</v>
      </c>
      <c r="AK470" s="41">
        <f t="shared" si="426"/>
        <v>0</v>
      </c>
      <c r="AL470" s="42" t="s">
        <v>13</v>
      </c>
      <c r="AQ470" s="41">
        <f t="shared" si="427"/>
        <v>0</v>
      </c>
      <c r="AR470" s="41">
        <f t="shared" si="428"/>
        <v>0</v>
      </c>
      <c r="AS470" s="41">
        <f t="shared" si="429"/>
        <v>0</v>
      </c>
      <c r="AT470" s="44" t="s">
        <v>2441</v>
      </c>
      <c r="AU470" s="44" t="s">
        <v>2481</v>
      </c>
      <c r="AV470" s="31" t="s">
        <v>2486</v>
      </c>
      <c r="AX470" s="41">
        <f t="shared" si="430"/>
        <v>0</v>
      </c>
      <c r="AY470" s="41">
        <f t="shared" si="431"/>
        <v>0</v>
      </c>
      <c r="AZ470" s="41">
        <v>0</v>
      </c>
      <c r="BA470" s="41">
        <f t="shared" si="432"/>
        <v>0</v>
      </c>
      <c r="BC470" s="21">
        <f t="shared" si="433"/>
        <v>0</v>
      </c>
      <c r="BD470" s="21">
        <f t="shared" si="434"/>
        <v>0</v>
      </c>
      <c r="BE470" s="21">
        <f t="shared" si="435"/>
        <v>0</v>
      </c>
      <c r="BF470" s="21" t="s">
        <v>2492</v>
      </c>
      <c r="BG470" s="41">
        <v>7321</v>
      </c>
    </row>
    <row r="471" spans="1:59" x14ac:dyDescent="0.3">
      <c r="A471" s="4" t="s">
        <v>452</v>
      </c>
      <c r="B471" s="13"/>
      <c r="C471" s="13" t="s">
        <v>1146</v>
      </c>
      <c r="D471" s="101" t="s">
        <v>1920</v>
      </c>
      <c r="E471" s="102"/>
      <c r="F471" s="13" t="s">
        <v>2385</v>
      </c>
      <c r="G471" s="21">
        <v>6</v>
      </c>
      <c r="H471" s="21">
        <v>0</v>
      </c>
      <c r="I471" s="21">
        <f t="shared" si="410"/>
        <v>0</v>
      </c>
      <c r="J471" s="21">
        <f t="shared" si="411"/>
        <v>0</v>
      </c>
      <c r="K471" s="21">
        <f t="shared" si="412"/>
        <v>0</v>
      </c>
      <c r="L471" s="21">
        <v>0</v>
      </c>
      <c r="M471" s="21">
        <f t="shared" si="413"/>
        <v>0</v>
      </c>
      <c r="N471" s="35"/>
      <c r="O471" s="39"/>
      <c r="U471" s="41">
        <f t="shared" si="414"/>
        <v>0</v>
      </c>
      <c r="W471" s="41">
        <f t="shared" si="415"/>
        <v>0</v>
      </c>
      <c r="X471" s="41">
        <f t="shared" si="416"/>
        <v>0</v>
      </c>
      <c r="Y471" s="41">
        <f t="shared" si="417"/>
        <v>0</v>
      </c>
      <c r="Z471" s="41">
        <f t="shared" si="418"/>
        <v>0</v>
      </c>
      <c r="AA471" s="41">
        <f t="shared" si="419"/>
        <v>0</v>
      </c>
      <c r="AB471" s="41">
        <f t="shared" si="420"/>
        <v>0</v>
      </c>
      <c r="AC471" s="41">
        <f t="shared" si="421"/>
        <v>0</v>
      </c>
      <c r="AD471" s="31"/>
      <c r="AE471" s="21">
        <f t="shared" si="422"/>
        <v>0</v>
      </c>
      <c r="AF471" s="21">
        <f t="shared" si="423"/>
        <v>0</v>
      </c>
      <c r="AG471" s="21">
        <f t="shared" si="424"/>
        <v>0</v>
      </c>
      <c r="AI471" s="41">
        <v>21</v>
      </c>
      <c r="AJ471" s="41">
        <f t="shared" si="425"/>
        <v>0</v>
      </c>
      <c r="AK471" s="41">
        <f t="shared" si="426"/>
        <v>0</v>
      </c>
      <c r="AL471" s="42" t="s">
        <v>13</v>
      </c>
      <c r="AQ471" s="41">
        <f t="shared" si="427"/>
        <v>0</v>
      </c>
      <c r="AR471" s="41">
        <f t="shared" si="428"/>
        <v>0</v>
      </c>
      <c r="AS471" s="41">
        <f t="shared" si="429"/>
        <v>0</v>
      </c>
      <c r="AT471" s="44" t="s">
        <v>2441</v>
      </c>
      <c r="AU471" s="44" t="s">
        <v>2481</v>
      </c>
      <c r="AV471" s="31" t="s">
        <v>2486</v>
      </c>
      <c r="AX471" s="41">
        <f t="shared" si="430"/>
        <v>0</v>
      </c>
      <c r="AY471" s="41">
        <f t="shared" si="431"/>
        <v>0</v>
      </c>
      <c r="AZ471" s="41">
        <v>0</v>
      </c>
      <c r="BA471" s="41">
        <f t="shared" si="432"/>
        <v>0</v>
      </c>
      <c r="BC471" s="21">
        <f t="shared" si="433"/>
        <v>0</v>
      </c>
      <c r="BD471" s="21">
        <f t="shared" si="434"/>
        <v>0</v>
      </c>
      <c r="BE471" s="21">
        <f t="shared" si="435"/>
        <v>0</v>
      </c>
      <c r="BF471" s="21" t="s">
        <v>2492</v>
      </c>
      <c r="BG471" s="41">
        <v>7321</v>
      </c>
    </row>
    <row r="472" spans="1:59" x14ac:dyDescent="0.3">
      <c r="A472" s="4" t="s">
        <v>453</v>
      </c>
      <c r="B472" s="13"/>
      <c r="C472" s="13" t="s">
        <v>1146</v>
      </c>
      <c r="D472" s="101" t="s">
        <v>1920</v>
      </c>
      <c r="E472" s="102"/>
      <c r="F472" s="13" t="s">
        <v>2385</v>
      </c>
      <c r="G472" s="21">
        <v>61</v>
      </c>
      <c r="H472" s="21">
        <v>0</v>
      </c>
      <c r="I472" s="21">
        <f t="shared" si="410"/>
        <v>0</v>
      </c>
      <c r="J472" s="21">
        <f t="shared" si="411"/>
        <v>0</v>
      </c>
      <c r="K472" s="21">
        <f t="shared" si="412"/>
        <v>0</v>
      </c>
      <c r="L472" s="21">
        <v>0</v>
      </c>
      <c r="M472" s="21">
        <f t="shared" si="413"/>
        <v>0</v>
      </c>
      <c r="N472" s="35"/>
      <c r="O472" s="39"/>
      <c r="U472" s="41">
        <f t="shared" si="414"/>
        <v>0</v>
      </c>
      <c r="W472" s="41">
        <f t="shared" si="415"/>
        <v>0</v>
      </c>
      <c r="X472" s="41">
        <f t="shared" si="416"/>
        <v>0</v>
      </c>
      <c r="Y472" s="41">
        <f t="shared" si="417"/>
        <v>0</v>
      </c>
      <c r="Z472" s="41">
        <f t="shared" si="418"/>
        <v>0</v>
      </c>
      <c r="AA472" s="41">
        <f t="shared" si="419"/>
        <v>0</v>
      </c>
      <c r="AB472" s="41">
        <f t="shared" si="420"/>
        <v>0</v>
      </c>
      <c r="AC472" s="41">
        <f t="shared" si="421"/>
        <v>0</v>
      </c>
      <c r="AD472" s="31"/>
      <c r="AE472" s="21">
        <f t="shared" si="422"/>
        <v>0</v>
      </c>
      <c r="AF472" s="21">
        <f t="shared" si="423"/>
        <v>0</v>
      </c>
      <c r="AG472" s="21">
        <f t="shared" si="424"/>
        <v>0</v>
      </c>
      <c r="AI472" s="41">
        <v>21</v>
      </c>
      <c r="AJ472" s="41">
        <f t="shared" si="425"/>
        <v>0</v>
      </c>
      <c r="AK472" s="41">
        <f t="shared" si="426"/>
        <v>0</v>
      </c>
      <c r="AL472" s="42" t="s">
        <v>13</v>
      </c>
      <c r="AQ472" s="41">
        <f t="shared" si="427"/>
        <v>0</v>
      </c>
      <c r="AR472" s="41">
        <f t="shared" si="428"/>
        <v>0</v>
      </c>
      <c r="AS472" s="41">
        <f t="shared" si="429"/>
        <v>0</v>
      </c>
      <c r="AT472" s="44" t="s">
        <v>2441</v>
      </c>
      <c r="AU472" s="44" t="s">
        <v>2481</v>
      </c>
      <c r="AV472" s="31" t="s">
        <v>2486</v>
      </c>
      <c r="AX472" s="41">
        <f t="shared" si="430"/>
        <v>0</v>
      </c>
      <c r="AY472" s="41">
        <f t="shared" si="431"/>
        <v>0</v>
      </c>
      <c r="AZ472" s="41">
        <v>0</v>
      </c>
      <c r="BA472" s="41">
        <f t="shared" si="432"/>
        <v>0</v>
      </c>
      <c r="BC472" s="21">
        <f t="shared" si="433"/>
        <v>0</v>
      </c>
      <c r="BD472" s="21">
        <f t="shared" si="434"/>
        <v>0</v>
      </c>
      <c r="BE472" s="21">
        <f t="shared" si="435"/>
        <v>0</v>
      </c>
      <c r="BF472" s="21" t="s">
        <v>2492</v>
      </c>
      <c r="BG472" s="41">
        <v>7321</v>
      </c>
    </row>
    <row r="473" spans="1:59" x14ac:dyDescent="0.3">
      <c r="A473" s="4" t="s">
        <v>454</v>
      </c>
      <c r="B473" s="13"/>
      <c r="C473" s="13" t="s">
        <v>1146</v>
      </c>
      <c r="D473" s="101" t="s">
        <v>1920</v>
      </c>
      <c r="E473" s="102"/>
      <c r="F473" s="13" t="s">
        <v>2385</v>
      </c>
      <c r="G473" s="21">
        <v>12</v>
      </c>
      <c r="H473" s="21">
        <v>0</v>
      </c>
      <c r="I473" s="21">
        <f t="shared" si="410"/>
        <v>0</v>
      </c>
      <c r="J473" s="21">
        <f t="shared" si="411"/>
        <v>0</v>
      </c>
      <c r="K473" s="21">
        <f t="shared" si="412"/>
        <v>0</v>
      </c>
      <c r="L473" s="21">
        <v>0</v>
      </c>
      <c r="M473" s="21">
        <f t="shared" si="413"/>
        <v>0</v>
      </c>
      <c r="N473" s="35"/>
      <c r="O473" s="39"/>
      <c r="U473" s="41">
        <f t="shared" si="414"/>
        <v>0</v>
      </c>
      <c r="W473" s="41">
        <f t="shared" si="415"/>
        <v>0</v>
      </c>
      <c r="X473" s="41">
        <f t="shared" si="416"/>
        <v>0</v>
      </c>
      <c r="Y473" s="41">
        <f t="shared" si="417"/>
        <v>0</v>
      </c>
      <c r="Z473" s="41">
        <f t="shared" si="418"/>
        <v>0</v>
      </c>
      <c r="AA473" s="41">
        <f t="shared" si="419"/>
        <v>0</v>
      </c>
      <c r="AB473" s="41">
        <f t="shared" si="420"/>
        <v>0</v>
      </c>
      <c r="AC473" s="41">
        <f t="shared" si="421"/>
        <v>0</v>
      </c>
      <c r="AD473" s="31"/>
      <c r="AE473" s="21">
        <f t="shared" si="422"/>
        <v>0</v>
      </c>
      <c r="AF473" s="21">
        <f t="shared" si="423"/>
        <v>0</v>
      </c>
      <c r="AG473" s="21">
        <f t="shared" si="424"/>
        <v>0</v>
      </c>
      <c r="AI473" s="41">
        <v>21</v>
      </c>
      <c r="AJ473" s="41">
        <f t="shared" si="425"/>
        <v>0</v>
      </c>
      <c r="AK473" s="41">
        <f t="shared" si="426"/>
        <v>0</v>
      </c>
      <c r="AL473" s="42" t="s">
        <v>13</v>
      </c>
      <c r="AQ473" s="41">
        <f t="shared" si="427"/>
        <v>0</v>
      </c>
      <c r="AR473" s="41">
        <f t="shared" si="428"/>
        <v>0</v>
      </c>
      <c r="AS473" s="41">
        <f t="shared" si="429"/>
        <v>0</v>
      </c>
      <c r="AT473" s="44" t="s">
        <v>2441</v>
      </c>
      <c r="AU473" s="44" t="s">
        <v>2481</v>
      </c>
      <c r="AV473" s="31" t="s">
        <v>2486</v>
      </c>
      <c r="AX473" s="41">
        <f t="shared" si="430"/>
        <v>0</v>
      </c>
      <c r="AY473" s="41">
        <f t="shared" si="431"/>
        <v>0</v>
      </c>
      <c r="AZ473" s="41">
        <v>0</v>
      </c>
      <c r="BA473" s="41">
        <f t="shared" si="432"/>
        <v>0</v>
      </c>
      <c r="BC473" s="21">
        <f t="shared" si="433"/>
        <v>0</v>
      </c>
      <c r="BD473" s="21">
        <f t="shared" si="434"/>
        <v>0</v>
      </c>
      <c r="BE473" s="21">
        <f t="shared" si="435"/>
        <v>0</v>
      </c>
      <c r="BF473" s="21" t="s">
        <v>2492</v>
      </c>
      <c r="BG473" s="41">
        <v>7321</v>
      </c>
    </row>
    <row r="474" spans="1:59" x14ac:dyDescent="0.3">
      <c r="A474" s="4" t="s">
        <v>455</v>
      </c>
      <c r="B474" s="13"/>
      <c r="C474" s="13" t="s">
        <v>1146</v>
      </c>
      <c r="D474" s="101" t="s">
        <v>1920</v>
      </c>
      <c r="E474" s="102"/>
      <c r="F474" s="13" t="s">
        <v>2385</v>
      </c>
      <c r="G474" s="21">
        <v>4</v>
      </c>
      <c r="H474" s="21">
        <v>0</v>
      </c>
      <c r="I474" s="21">
        <f t="shared" si="410"/>
        <v>0</v>
      </c>
      <c r="J474" s="21">
        <f t="shared" si="411"/>
        <v>0</v>
      </c>
      <c r="K474" s="21">
        <f t="shared" si="412"/>
        <v>0</v>
      </c>
      <c r="L474" s="21">
        <v>0</v>
      </c>
      <c r="M474" s="21">
        <f t="shared" si="413"/>
        <v>0</v>
      </c>
      <c r="N474" s="35"/>
      <c r="O474" s="39"/>
      <c r="U474" s="41">
        <f t="shared" si="414"/>
        <v>0</v>
      </c>
      <c r="W474" s="41">
        <f t="shared" si="415"/>
        <v>0</v>
      </c>
      <c r="X474" s="41">
        <f t="shared" si="416"/>
        <v>0</v>
      </c>
      <c r="Y474" s="41">
        <f t="shared" si="417"/>
        <v>0</v>
      </c>
      <c r="Z474" s="41">
        <f t="shared" si="418"/>
        <v>0</v>
      </c>
      <c r="AA474" s="41">
        <f t="shared" si="419"/>
        <v>0</v>
      </c>
      <c r="AB474" s="41">
        <f t="shared" si="420"/>
        <v>0</v>
      </c>
      <c r="AC474" s="41">
        <f t="shared" si="421"/>
        <v>0</v>
      </c>
      <c r="AD474" s="31"/>
      <c r="AE474" s="21">
        <f t="shared" si="422"/>
        <v>0</v>
      </c>
      <c r="AF474" s="21">
        <f t="shared" si="423"/>
        <v>0</v>
      </c>
      <c r="AG474" s="21">
        <f t="shared" si="424"/>
        <v>0</v>
      </c>
      <c r="AI474" s="41">
        <v>21</v>
      </c>
      <c r="AJ474" s="41">
        <f t="shared" si="425"/>
        <v>0</v>
      </c>
      <c r="AK474" s="41">
        <f t="shared" si="426"/>
        <v>0</v>
      </c>
      <c r="AL474" s="42" t="s">
        <v>13</v>
      </c>
      <c r="AQ474" s="41">
        <f t="shared" si="427"/>
        <v>0</v>
      </c>
      <c r="AR474" s="41">
        <f t="shared" si="428"/>
        <v>0</v>
      </c>
      <c r="AS474" s="41">
        <f t="shared" si="429"/>
        <v>0</v>
      </c>
      <c r="AT474" s="44" t="s">
        <v>2441</v>
      </c>
      <c r="AU474" s="44" t="s">
        <v>2481</v>
      </c>
      <c r="AV474" s="31" t="s">
        <v>2486</v>
      </c>
      <c r="AX474" s="41">
        <f t="shared" si="430"/>
        <v>0</v>
      </c>
      <c r="AY474" s="41">
        <f t="shared" si="431"/>
        <v>0</v>
      </c>
      <c r="AZ474" s="41">
        <v>0</v>
      </c>
      <c r="BA474" s="41">
        <f t="shared" si="432"/>
        <v>0</v>
      </c>
      <c r="BC474" s="21">
        <f t="shared" si="433"/>
        <v>0</v>
      </c>
      <c r="BD474" s="21">
        <f t="shared" si="434"/>
        <v>0</v>
      </c>
      <c r="BE474" s="21">
        <f t="shared" si="435"/>
        <v>0</v>
      </c>
      <c r="BF474" s="21" t="s">
        <v>2492</v>
      </c>
      <c r="BG474" s="41">
        <v>7321</v>
      </c>
    </row>
    <row r="475" spans="1:59" x14ac:dyDescent="0.3">
      <c r="A475" s="4" t="s">
        <v>456</v>
      </c>
      <c r="B475" s="13"/>
      <c r="C475" s="13" t="s">
        <v>1146</v>
      </c>
      <c r="D475" s="101" t="s">
        <v>1921</v>
      </c>
      <c r="E475" s="102"/>
      <c r="F475" s="13" t="s">
        <v>2386</v>
      </c>
      <c r="G475" s="21">
        <v>1</v>
      </c>
      <c r="H475" s="21">
        <v>0</v>
      </c>
      <c r="I475" s="21">
        <f t="shared" si="410"/>
        <v>0</v>
      </c>
      <c r="J475" s="21">
        <f t="shared" si="411"/>
        <v>0</v>
      </c>
      <c r="K475" s="21">
        <f t="shared" si="412"/>
        <v>0</v>
      </c>
      <c r="L475" s="21">
        <v>0</v>
      </c>
      <c r="M475" s="21">
        <f t="shared" si="413"/>
        <v>0</v>
      </c>
      <c r="N475" s="35"/>
      <c r="O475" s="39"/>
      <c r="U475" s="41">
        <f t="shared" si="414"/>
        <v>0</v>
      </c>
      <c r="W475" s="41">
        <f t="shared" si="415"/>
        <v>0</v>
      </c>
      <c r="X475" s="41">
        <f t="shared" si="416"/>
        <v>0</v>
      </c>
      <c r="Y475" s="41">
        <f t="shared" si="417"/>
        <v>0</v>
      </c>
      <c r="Z475" s="41">
        <f t="shared" si="418"/>
        <v>0</v>
      </c>
      <c r="AA475" s="41">
        <f t="shared" si="419"/>
        <v>0</v>
      </c>
      <c r="AB475" s="41">
        <f t="shared" si="420"/>
        <v>0</v>
      </c>
      <c r="AC475" s="41">
        <f t="shared" si="421"/>
        <v>0</v>
      </c>
      <c r="AD475" s="31"/>
      <c r="AE475" s="21">
        <f t="shared" si="422"/>
        <v>0</v>
      </c>
      <c r="AF475" s="21">
        <f t="shared" si="423"/>
        <v>0</v>
      </c>
      <c r="AG475" s="21">
        <f t="shared" si="424"/>
        <v>0</v>
      </c>
      <c r="AI475" s="41">
        <v>21</v>
      </c>
      <c r="AJ475" s="41">
        <f t="shared" si="425"/>
        <v>0</v>
      </c>
      <c r="AK475" s="41">
        <f t="shared" si="426"/>
        <v>0</v>
      </c>
      <c r="AL475" s="42" t="s">
        <v>13</v>
      </c>
      <c r="AQ475" s="41">
        <f t="shared" si="427"/>
        <v>0</v>
      </c>
      <c r="AR475" s="41">
        <f t="shared" si="428"/>
        <v>0</v>
      </c>
      <c r="AS475" s="41">
        <f t="shared" si="429"/>
        <v>0</v>
      </c>
      <c r="AT475" s="44" t="s">
        <v>2441</v>
      </c>
      <c r="AU475" s="44" t="s">
        <v>2481</v>
      </c>
      <c r="AV475" s="31" t="s">
        <v>2486</v>
      </c>
      <c r="AX475" s="41">
        <f t="shared" si="430"/>
        <v>0</v>
      </c>
      <c r="AY475" s="41">
        <f t="shared" si="431"/>
        <v>0</v>
      </c>
      <c r="AZ475" s="41">
        <v>0</v>
      </c>
      <c r="BA475" s="41">
        <f t="shared" si="432"/>
        <v>0</v>
      </c>
      <c r="BC475" s="21">
        <f t="shared" si="433"/>
        <v>0</v>
      </c>
      <c r="BD475" s="21">
        <f t="shared" si="434"/>
        <v>0</v>
      </c>
      <c r="BE475" s="21">
        <f t="shared" si="435"/>
        <v>0</v>
      </c>
      <c r="BF475" s="21" t="s">
        <v>2492</v>
      </c>
      <c r="BG475" s="41">
        <v>7321</v>
      </c>
    </row>
    <row r="476" spans="1:59" x14ac:dyDescent="0.3">
      <c r="A476" s="4" t="s">
        <v>457</v>
      </c>
      <c r="B476" s="13"/>
      <c r="C476" s="13" t="s">
        <v>1146</v>
      </c>
      <c r="D476" s="101" t="s">
        <v>1911</v>
      </c>
      <c r="E476" s="102"/>
      <c r="F476" s="13" t="s">
        <v>2384</v>
      </c>
      <c r="G476" s="21">
        <v>1</v>
      </c>
      <c r="H476" s="21">
        <v>0</v>
      </c>
      <c r="I476" s="21">
        <f t="shared" si="410"/>
        <v>0</v>
      </c>
      <c r="J476" s="21">
        <f t="shared" si="411"/>
        <v>0</v>
      </c>
      <c r="K476" s="21">
        <f t="shared" si="412"/>
        <v>0</v>
      </c>
      <c r="L476" s="21">
        <v>0</v>
      </c>
      <c r="M476" s="21">
        <f t="shared" si="413"/>
        <v>0</v>
      </c>
      <c r="N476" s="35"/>
      <c r="O476" s="39"/>
      <c r="U476" s="41">
        <f t="shared" si="414"/>
        <v>0</v>
      </c>
      <c r="W476" s="41">
        <f t="shared" si="415"/>
        <v>0</v>
      </c>
      <c r="X476" s="41">
        <f t="shared" si="416"/>
        <v>0</v>
      </c>
      <c r="Y476" s="41">
        <f t="shared" si="417"/>
        <v>0</v>
      </c>
      <c r="Z476" s="41">
        <f t="shared" si="418"/>
        <v>0</v>
      </c>
      <c r="AA476" s="41">
        <f t="shared" si="419"/>
        <v>0</v>
      </c>
      <c r="AB476" s="41">
        <f t="shared" si="420"/>
        <v>0</v>
      </c>
      <c r="AC476" s="41">
        <f t="shared" si="421"/>
        <v>0</v>
      </c>
      <c r="AD476" s="31"/>
      <c r="AE476" s="21">
        <f t="shared" si="422"/>
        <v>0</v>
      </c>
      <c r="AF476" s="21">
        <f t="shared" si="423"/>
        <v>0</v>
      </c>
      <c r="AG476" s="21">
        <f t="shared" si="424"/>
        <v>0</v>
      </c>
      <c r="AI476" s="41">
        <v>21</v>
      </c>
      <c r="AJ476" s="41">
        <f t="shared" si="425"/>
        <v>0</v>
      </c>
      <c r="AK476" s="41">
        <f t="shared" si="426"/>
        <v>0</v>
      </c>
      <c r="AL476" s="42" t="s">
        <v>13</v>
      </c>
      <c r="AQ476" s="41">
        <f t="shared" si="427"/>
        <v>0</v>
      </c>
      <c r="AR476" s="41">
        <f t="shared" si="428"/>
        <v>0</v>
      </c>
      <c r="AS476" s="41">
        <f t="shared" si="429"/>
        <v>0</v>
      </c>
      <c r="AT476" s="44" t="s">
        <v>2441</v>
      </c>
      <c r="AU476" s="44" t="s">
        <v>2481</v>
      </c>
      <c r="AV476" s="31" t="s">
        <v>2486</v>
      </c>
      <c r="AX476" s="41">
        <f t="shared" si="430"/>
        <v>0</v>
      </c>
      <c r="AY476" s="41">
        <f t="shared" si="431"/>
        <v>0</v>
      </c>
      <c r="AZ476" s="41">
        <v>0</v>
      </c>
      <c r="BA476" s="41">
        <f t="shared" si="432"/>
        <v>0</v>
      </c>
      <c r="BC476" s="21">
        <f t="shared" si="433"/>
        <v>0</v>
      </c>
      <c r="BD476" s="21">
        <f t="shared" si="434"/>
        <v>0</v>
      </c>
      <c r="BE476" s="21">
        <f t="shared" si="435"/>
        <v>0</v>
      </c>
      <c r="BF476" s="21" t="s">
        <v>2492</v>
      </c>
      <c r="BG476" s="41">
        <v>7321</v>
      </c>
    </row>
    <row r="477" spans="1:59" x14ac:dyDescent="0.3">
      <c r="A477" s="4" t="s">
        <v>458</v>
      </c>
      <c r="B477" s="13"/>
      <c r="C477" s="13" t="s">
        <v>1146</v>
      </c>
      <c r="D477" s="101" t="s">
        <v>1912</v>
      </c>
      <c r="E477" s="102"/>
      <c r="F477" s="13" t="s">
        <v>2384</v>
      </c>
      <c r="G477" s="21">
        <v>1</v>
      </c>
      <c r="H477" s="21">
        <v>0</v>
      </c>
      <c r="I477" s="21">
        <f t="shared" si="410"/>
        <v>0</v>
      </c>
      <c r="J477" s="21">
        <f t="shared" si="411"/>
        <v>0</v>
      </c>
      <c r="K477" s="21">
        <f t="shared" si="412"/>
        <v>0</v>
      </c>
      <c r="L477" s="21">
        <v>0</v>
      </c>
      <c r="M477" s="21">
        <f t="shared" si="413"/>
        <v>0</v>
      </c>
      <c r="N477" s="35"/>
      <c r="O477" s="39"/>
      <c r="U477" s="41">
        <f t="shared" si="414"/>
        <v>0</v>
      </c>
      <c r="W477" s="41">
        <f t="shared" si="415"/>
        <v>0</v>
      </c>
      <c r="X477" s="41">
        <f t="shared" si="416"/>
        <v>0</v>
      </c>
      <c r="Y477" s="41">
        <f t="shared" si="417"/>
        <v>0</v>
      </c>
      <c r="Z477" s="41">
        <f t="shared" si="418"/>
        <v>0</v>
      </c>
      <c r="AA477" s="41">
        <f t="shared" si="419"/>
        <v>0</v>
      </c>
      <c r="AB477" s="41">
        <f t="shared" si="420"/>
        <v>0</v>
      </c>
      <c r="AC477" s="41">
        <f t="shared" si="421"/>
        <v>0</v>
      </c>
      <c r="AD477" s="31"/>
      <c r="AE477" s="21">
        <f t="shared" si="422"/>
        <v>0</v>
      </c>
      <c r="AF477" s="21">
        <f t="shared" si="423"/>
        <v>0</v>
      </c>
      <c r="AG477" s="21">
        <f t="shared" si="424"/>
        <v>0</v>
      </c>
      <c r="AI477" s="41">
        <v>21</v>
      </c>
      <c r="AJ477" s="41">
        <f t="shared" si="425"/>
        <v>0</v>
      </c>
      <c r="AK477" s="41">
        <f t="shared" si="426"/>
        <v>0</v>
      </c>
      <c r="AL477" s="42" t="s">
        <v>13</v>
      </c>
      <c r="AQ477" s="41">
        <f t="shared" si="427"/>
        <v>0</v>
      </c>
      <c r="AR477" s="41">
        <f t="shared" si="428"/>
        <v>0</v>
      </c>
      <c r="AS477" s="41">
        <f t="shared" si="429"/>
        <v>0</v>
      </c>
      <c r="AT477" s="44" t="s">
        <v>2441</v>
      </c>
      <c r="AU477" s="44" t="s">
        <v>2481</v>
      </c>
      <c r="AV477" s="31" t="s">
        <v>2486</v>
      </c>
      <c r="AX477" s="41">
        <f t="shared" si="430"/>
        <v>0</v>
      </c>
      <c r="AY477" s="41">
        <f t="shared" si="431"/>
        <v>0</v>
      </c>
      <c r="AZ477" s="41">
        <v>0</v>
      </c>
      <c r="BA477" s="41">
        <f t="shared" si="432"/>
        <v>0</v>
      </c>
      <c r="BC477" s="21">
        <f t="shared" si="433"/>
        <v>0</v>
      </c>
      <c r="BD477" s="21">
        <f t="shared" si="434"/>
        <v>0</v>
      </c>
      <c r="BE477" s="21">
        <f t="shared" si="435"/>
        <v>0</v>
      </c>
      <c r="BF477" s="21" t="s">
        <v>2492</v>
      </c>
      <c r="BG477" s="41">
        <v>7321</v>
      </c>
    </row>
    <row r="478" spans="1:59" x14ac:dyDescent="0.3">
      <c r="A478" s="4" t="s">
        <v>459</v>
      </c>
      <c r="B478" s="13"/>
      <c r="C478" s="13" t="s">
        <v>1146</v>
      </c>
      <c r="D478" s="101" t="s">
        <v>1913</v>
      </c>
      <c r="E478" s="102"/>
      <c r="F478" s="13" t="s">
        <v>2385</v>
      </c>
      <c r="G478" s="21">
        <v>55</v>
      </c>
      <c r="H478" s="21">
        <v>0</v>
      </c>
      <c r="I478" s="21">
        <f t="shared" si="410"/>
        <v>0</v>
      </c>
      <c r="J478" s="21">
        <f t="shared" si="411"/>
        <v>0</v>
      </c>
      <c r="K478" s="21">
        <f t="shared" si="412"/>
        <v>0</v>
      </c>
      <c r="L478" s="21">
        <v>0</v>
      </c>
      <c r="M478" s="21">
        <f t="shared" si="413"/>
        <v>0</v>
      </c>
      <c r="N478" s="35"/>
      <c r="O478" s="39"/>
      <c r="U478" s="41">
        <f t="shared" si="414"/>
        <v>0</v>
      </c>
      <c r="W478" s="41">
        <f t="shared" si="415"/>
        <v>0</v>
      </c>
      <c r="X478" s="41">
        <f t="shared" si="416"/>
        <v>0</v>
      </c>
      <c r="Y478" s="41">
        <f t="shared" si="417"/>
        <v>0</v>
      </c>
      <c r="Z478" s="41">
        <f t="shared" si="418"/>
        <v>0</v>
      </c>
      <c r="AA478" s="41">
        <f t="shared" si="419"/>
        <v>0</v>
      </c>
      <c r="AB478" s="41">
        <f t="shared" si="420"/>
        <v>0</v>
      </c>
      <c r="AC478" s="41">
        <f t="shared" si="421"/>
        <v>0</v>
      </c>
      <c r="AD478" s="31"/>
      <c r="AE478" s="21">
        <f t="shared" si="422"/>
        <v>0</v>
      </c>
      <c r="AF478" s="21">
        <f t="shared" si="423"/>
        <v>0</v>
      </c>
      <c r="AG478" s="21">
        <f t="shared" si="424"/>
        <v>0</v>
      </c>
      <c r="AI478" s="41">
        <v>21</v>
      </c>
      <c r="AJ478" s="41">
        <f t="shared" si="425"/>
        <v>0</v>
      </c>
      <c r="AK478" s="41">
        <f t="shared" si="426"/>
        <v>0</v>
      </c>
      <c r="AL478" s="42" t="s">
        <v>13</v>
      </c>
      <c r="AQ478" s="41">
        <f t="shared" si="427"/>
        <v>0</v>
      </c>
      <c r="AR478" s="41">
        <f t="shared" si="428"/>
        <v>0</v>
      </c>
      <c r="AS478" s="41">
        <f t="shared" si="429"/>
        <v>0</v>
      </c>
      <c r="AT478" s="44" t="s">
        <v>2441</v>
      </c>
      <c r="AU478" s="44" t="s">
        <v>2481</v>
      </c>
      <c r="AV478" s="31" t="s">
        <v>2486</v>
      </c>
      <c r="AX478" s="41">
        <f t="shared" si="430"/>
        <v>0</v>
      </c>
      <c r="AY478" s="41">
        <f t="shared" si="431"/>
        <v>0</v>
      </c>
      <c r="AZ478" s="41">
        <v>0</v>
      </c>
      <c r="BA478" s="41">
        <f t="shared" si="432"/>
        <v>0</v>
      </c>
      <c r="BC478" s="21">
        <f t="shared" si="433"/>
        <v>0</v>
      </c>
      <c r="BD478" s="21">
        <f t="shared" si="434"/>
        <v>0</v>
      </c>
      <c r="BE478" s="21">
        <f t="shared" si="435"/>
        <v>0</v>
      </c>
      <c r="BF478" s="21" t="s">
        <v>2492</v>
      </c>
      <c r="BG478" s="41">
        <v>7321</v>
      </c>
    </row>
    <row r="479" spans="1:59" x14ac:dyDescent="0.3">
      <c r="A479" s="4" t="s">
        <v>460</v>
      </c>
      <c r="B479" s="13"/>
      <c r="C479" s="13" t="s">
        <v>1146</v>
      </c>
      <c r="D479" s="101" t="s">
        <v>1914</v>
      </c>
      <c r="E479" s="102"/>
      <c r="F479" s="13" t="s">
        <v>2388</v>
      </c>
      <c r="G479" s="21">
        <v>1</v>
      </c>
      <c r="H479" s="21">
        <v>0</v>
      </c>
      <c r="I479" s="21">
        <f t="shared" si="410"/>
        <v>0</v>
      </c>
      <c r="J479" s="21">
        <f t="shared" si="411"/>
        <v>0</v>
      </c>
      <c r="K479" s="21">
        <f t="shared" si="412"/>
        <v>0</v>
      </c>
      <c r="L479" s="21">
        <v>0</v>
      </c>
      <c r="M479" s="21">
        <f t="shared" si="413"/>
        <v>0</v>
      </c>
      <c r="N479" s="35"/>
      <c r="O479" s="39"/>
      <c r="U479" s="41">
        <f t="shared" si="414"/>
        <v>0</v>
      </c>
      <c r="W479" s="41">
        <f t="shared" si="415"/>
        <v>0</v>
      </c>
      <c r="X479" s="41">
        <f t="shared" si="416"/>
        <v>0</v>
      </c>
      <c r="Y479" s="41">
        <f t="shared" si="417"/>
        <v>0</v>
      </c>
      <c r="Z479" s="41">
        <f t="shared" si="418"/>
        <v>0</v>
      </c>
      <c r="AA479" s="41">
        <f t="shared" si="419"/>
        <v>0</v>
      </c>
      <c r="AB479" s="41">
        <f t="shared" si="420"/>
        <v>0</v>
      </c>
      <c r="AC479" s="41">
        <f t="shared" si="421"/>
        <v>0</v>
      </c>
      <c r="AD479" s="31"/>
      <c r="AE479" s="21">
        <f t="shared" si="422"/>
        <v>0</v>
      </c>
      <c r="AF479" s="21">
        <f t="shared" si="423"/>
        <v>0</v>
      </c>
      <c r="AG479" s="21">
        <f t="shared" si="424"/>
        <v>0</v>
      </c>
      <c r="AI479" s="41">
        <v>21</v>
      </c>
      <c r="AJ479" s="41">
        <f t="shared" si="425"/>
        <v>0</v>
      </c>
      <c r="AK479" s="41">
        <f t="shared" si="426"/>
        <v>0</v>
      </c>
      <c r="AL479" s="42" t="s">
        <v>13</v>
      </c>
      <c r="AQ479" s="41">
        <f t="shared" si="427"/>
        <v>0</v>
      </c>
      <c r="AR479" s="41">
        <f t="shared" si="428"/>
        <v>0</v>
      </c>
      <c r="AS479" s="41">
        <f t="shared" si="429"/>
        <v>0</v>
      </c>
      <c r="AT479" s="44" t="s">
        <v>2441</v>
      </c>
      <c r="AU479" s="44" t="s">
        <v>2481</v>
      </c>
      <c r="AV479" s="31" t="s">
        <v>2486</v>
      </c>
      <c r="AX479" s="41">
        <f t="shared" si="430"/>
        <v>0</v>
      </c>
      <c r="AY479" s="41">
        <f t="shared" si="431"/>
        <v>0</v>
      </c>
      <c r="AZ479" s="41">
        <v>0</v>
      </c>
      <c r="BA479" s="41">
        <f t="shared" si="432"/>
        <v>0</v>
      </c>
      <c r="BC479" s="21">
        <f t="shared" si="433"/>
        <v>0</v>
      </c>
      <c r="BD479" s="21">
        <f t="shared" si="434"/>
        <v>0</v>
      </c>
      <c r="BE479" s="21">
        <f t="shared" si="435"/>
        <v>0</v>
      </c>
      <c r="BF479" s="21" t="s">
        <v>2492</v>
      </c>
      <c r="BG479" s="41">
        <v>7321</v>
      </c>
    </row>
    <row r="480" spans="1:59" x14ac:dyDescent="0.3">
      <c r="A480" s="4" t="s">
        <v>461</v>
      </c>
      <c r="B480" s="13"/>
      <c r="C480" s="13" t="s">
        <v>1146</v>
      </c>
      <c r="D480" s="101" t="s">
        <v>1915</v>
      </c>
      <c r="E480" s="102"/>
      <c r="F480" s="13" t="s">
        <v>2384</v>
      </c>
      <c r="G480" s="21">
        <v>1</v>
      </c>
      <c r="H480" s="21">
        <v>0</v>
      </c>
      <c r="I480" s="21">
        <f t="shared" si="410"/>
        <v>0</v>
      </c>
      <c r="J480" s="21">
        <f t="shared" si="411"/>
        <v>0</v>
      </c>
      <c r="K480" s="21">
        <f t="shared" si="412"/>
        <v>0</v>
      </c>
      <c r="L480" s="21">
        <v>0</v>
      </c>
      <c r="M480" s="21">
        <f t="shared" si="413"/>
        <v>0</v>
      </c>
      <c r="N480" s="35"/>
      <c r="O480" s="39"/>
      <c r="U480" s="41">
        <f t="shared" si="414"/>
        <v>0</v>
      </c>
      <c r="W480" s="41">
        <f t="shared" si="415"/>
        <v>0</v>
      </c>
      <c r="X480" s="41">
        <f t="shared" si="416"/>
        <v>0</v>
      </c>
      <c r="Y480" s="41">
        <f t="shared" si="417"/>
        <v>0</v>
      </c>
      <c r="Z480" s="41">
        <f t="shared" si="418"/>
        <v>0</v>
      </c>
      <c r="AA480" s="41">
        <f t="shared" si="419"/>
        <v>0</v>
      </c>
      <c r="AB480" s="41">
        <f t="shared" si="420"/>
        <v>0</v>
      </c>
      <c r="AC480" s="41">
        <f t="shared" si="421"/>
        <v>0</v>
      </c>
      <c r="AD480" s="31"/>
      <c r="AE480" s="21">
        <f t="shared" si="422"/>
        <v>0</v>
      </c>
      <c r="AF480" s="21">
        <f t="shared" si="423"/>
        <v>0</v>
      </c>
      <c r="AG480" s="21">
        <f t="shared" si="424"/>
        <v>0</v>
      </c>
      <c r="AI480" s="41">
        <v>21</v>
      </c>
      <c r="AJ480" s="41">
        <f t="shared" si="425"/>
        <v>0</v>
      </c>
      <c r="AK480" s="41">
        <f t="shared" si="426"/>
        <v>0</v>
      </c>
      <c r="AL480" s="42" t="s">
        <v>13</v>
      </c>
      <c r="AQ480" s="41">
        <f t="shared" si="427"/>
        <v>0</v>
      </c>
      <c r="AR480" s="41">
        <f t="shared" si="428"/>
        <v>0</v>
      </c>
      <c r="AS480" s="41">
        <f t="shared" si="429"/>
        <v>0</v>
      </c>
      <c r="AT480" s="44" t="s">
        <v>2441</v>
      </c>
      <c r="AU480" s="44" t="s">
        <v>2481</v>
      </c>
      <c r="AV480" s="31" t="s">
        <v>2486</v>
      </c>
      <c r="AX480" s="41">
        <f t="shared" si="430"/>
        <v>0</v>
      </c>
      <c r="AY480" s="41">
        <f t="shared" si="431"/>
        <v>0</v>
      </c>
      <c r="AZ480" s="41">
        <v>0</v>
      </c>
      <c r="BA480" s="41">
        <f t="shared" si="432"/>
        <v>0</v>
      </c>
      <c r="BC480" s="21">
        <f t="shared" si="433"/>
        <v>0</v>
      </c>
      <c r="BD480" s="21">
        <f t="shared" si="434"/>
        <v>0</v>
      </c>
      <c r="BE480" s="21">
        <f t="shared" si="435"/>
        <v>0</v>
      </c>
      <c r="BF480" s="21" t="s">
        <v>2492</v>
      </c>
      <c r="BG480" s="41">
        <v>7321</v>
      </c>
    </row>
    <row r="481" spans="1:59" x14ac:dyDescent="0.3">
      <c r="A481" s="4" t="s">
        <v>462</v>
      </c>
      <c r="B481" s="13"/>
      <c r="C481" s="13" t="s">
        <v>1146</v>
      </c>
      <c r="D481" s="101" t="s">
        <v>1916</v>
      </c>
      <c r="E481" s="102"/>
      <c r="F481" s="13" t="s">
        <v>2384</v>
      </c>
      <c r="G481" s="21">
        <v>1</v>
      </c>
      <c r="H481" s="21">
        <v>0</v>
      </c>
      <c r="I481" s="21">
        <f t="shared" si="410"/>
        <v>0</v>
      </c>
      <c r="J481" s="21">
        <f t="shared" si="411"/>
        <v>0</v>
      </c>
      <c r="K481" s="21">
        <f t="shared" si="412"/>
        <v>0</v>
      </c>
      <c r="L481" s="21">
        <v>0</v>
      </c>
      <c r="M481" s="21">
        <f t="shared" si="413"/>
        <v>0</v>
      </c>
      <c r="N481" s="35"/>
      <c r="O481" s="39"/>
      <c r="U481" s="41">
        <f t="shared" si="414"/>
        <v>0</v>
      </c>
      <c r="W481" s="41">
        <f t="shared" si="415"/>
        <v>0</v>
      </c>
      <c r="X481" s="41">
        <f t="shared" si="416"/>
        <v>0</v>
      </c>
      <c r="Y481" s="41">
        <f t="shared" si="417"/>
        <v>0</v>
      </c>
      <c r="Z481" s="41">
        <f t="shared" si="418"/>
        <v>0</v>
      </c>
      <c r="AA481" s="41">
        <f t="shared" si="419"/>
        <v>0</v>
      </c>
      <c r="AB481" s="41">
        <f t="shared" si="420"/>
        <v>0</v>
      </c>
      <c r="AC481" s="41">
        <f t="shared" si="421"/>
        <v>0</v>
      </c>
      <c r="AD481" s="31"/>
      <c r="AE481" s="21">
        <f t="shared" si="422"/>
        <v>0</v>
      </c>
      <c r="AF481" s="21">
        <f t="shared" si="423"/>
        <v>0</v>
      </c>
      <c r="AG481" s="21">
        <f t="shared" si="424"/>
        <v>0</v>
      </c>
      <c r="AI481" s="41">
        <v>21</v>
      </c>
      <c r="AJ481" s="41">
        <f t="shared" si="425"/>
        <v>0</v>
      </c>
      <c r="AK481" s="41">
        <f t="shared" si="426"/>
        <v>0</v>
      </c>
      <c r="AL481" s="42" t="s">
        <v>13</v>
      </c>
      <c r="AQ481" s="41">
        <f t="shared" si="427"/>
        <v>0</v>
      </c>
      <c r="AR481" s="41">
        <f t="shared" si="428"/>
        <v>0</v>
      </c>
      <c r="AS481" s="41">
        <f t="shared" si="429"/>
        <v>0</v>
      </c>
      <c r="AT481" s="44" t="s">
        <v>2441</v>
      </c>
      <c r="AU481" s="44" t="s">
        <v>2481</v>
      </c>
      <c r="AV481" s="31" t="s">
        <v>2486</v>
      </c>
      <c r="AX481" s="41">
        <f t="shared" si="430"/>
        <v>0</v>
      </c>
      <c r="AY481" s="41">
        <f t="shared" si="431"/>
        <v>0</v>
      </c>
      <c r="AZ481" s="41">
        <v>0</v>
      </c>
      <c r="BA481" s="41">
        <f t="shared" si="432"/>
        <v>0</v>
      </c>
      <c r="BC481" s="21">
        <f t="shared" si="433"/>
        <v>0</v>
      </c>
      <c r="BD481" s="21">
        <f t="shared" si="434"/>
        <v>0</v>
      </c>
      <c r="BE481" s="21">
        <f t="shared" si="435"/>
        <v>0</v>
      </c>
      <c r="BF481" s="21" t="s">
        <v>2492</v>
      </c>
      <c r="BG481" s="41">
        <v>7321</v>
      </c>
    </row>
    <row r="482" spans="1:59" x14ac:dyDescent="0.3">
      <c r="A482" s="4" t="s">
        <v>463</v>
      </c>
      <c r="B482" s="13"/>
      <c r="C482" s="13" t="s">
        <v>1146</v>
      </c>
      <c r="D482" s="101" t="s">
        <v>1890</v>
      </c>
      <c r="E482" s="102"/>
      <c r="F482" s="13" t="s">
        <v>2384</v>
      </c>
      <c r="G482" s="21">
        <v>8</v>
      </c>
      <c r="H482" s="21">
        <v>0</v>
      </c>
      <c r="I482" s="21">
        <f t="shared" si="410"/>
        <v>0</v>
      </c>
      <c r="J482" s="21">
        <f t="shared" si="411"/>
        <v>0</v>
      </c>
      <c r="K482" s="21">
        <f t="shared" si="412"/>
        <v>0</v>
      </c>
      <c r="L482" s="21">
        <v>0</v>
      </c>
      <c r="M482" s="21">
        <f t="shared" si="413"/>
        <v>0</v>
      </c>
      <c r="N482" s="35"/>
      <c r="O482" s="39"/>
      <c r="U482" s="41">
        <f t="shared" si="414"/>
        <v>0</v>
      </c>
      <c r="W482" s="41">
        <f t="shared" si="415"/>
        <v>0</v>
      </c>
      <c r="X482" s="41">
        <f t="shared" si="416"/>
        <v>0</v>
      </c>
      <c r="Y482" s="41">
        <f t="shared" si="417"/>
        <v>0</v>
      </c>
      <c r="Z482" s="41">
        <f t="shared" si="418"/>
        <v>0</v>
      </c>
      <c r="AA482" s="41">
        <f t="shared" si="419"/>
        <v>0</v>
      </c>
      <c r="AB482" s="41">
        <f t="shared" si="420"/>
        <v>0</v>
      </c>
      <c r="AC482" s="41">
        <f t="shared" si="421"/>
        <v>0</v>
      </c>
      <c r="AD482" s="31"/>
      <c r="AE482" s="21">
        <f t="shared" si="422"/>
        <v>0</v>
      </c>
      <c r="AF482" s="21">
        <f t="shared" si="423"/>
        <v>0</v>
      </c>
      <c r="AG482" s="21">
        <f t="shared" si="424"/>
        <v>0</v>
      </c>
      <c r="AI482" s="41">
        <v>21</v>
      </c>
      <c r="AJ482" s="41">
        <f t="shared" si="425"/>
        <v>0</v>
      </c>
      <c r="AK482" s="41">
        <f t="shared" si="426"/>
        <v>0</v>
      </c>
      <c r="AL482" s="42" t="s">
        <v>13</v>
      </c>
      <c r="AQ482" s="41">
        <f t="shared" si="427"/>
        <v>0</v>
      </c>
      <c r="AR482" s="41">
        <f t="shared" si="428"/>
        <v>0</v>
      </c>
      <c r="AS482" s="41">
        <f t="shared" si="429"/>
        <v>0</v>
      </c>
      <c r="AT482" s="44" t="s">
        <v>2441</v>
      </c>
      <c r="AU482" s="44" t="s">
        <v>2481</v>
      </c>
      <c r="AV482" s="31" t="s">
        <v>2486</v>
      </c>
      <c r="AX482" s="41">
        <f t="shared" si="430"/>
        <v>0</v>
      </c>
      <c r="AY482" s="41">
        <f t="shared" si="431"/>
        <v>0</v>
      </c>
      <c r="AZ482" s="41">
        <v>0</v>
      </c>
      <c r="BA482" s="41">
        <f t="shared" si="432"/>
        <v>0</v>
      </c>
      <c r="BC482" s="21">
        <f t="shared" si="433"/>
        <v>0</v>
      </c>
      <c r="BD482" s="21">
        <f t="shared" si="434"/>
        <v>0</v>
      </c>
      <c r="BE482" s="21">
        <f t="shared" si="435"/>
        <v>0</v>
      </c>
      <c r="BF482" s="21" t="s">
        <v>2492</v>
      </c>
      <c r="BG482" s="41">
        <v>7321</v>
      </c>
    </row>
    <row r="483" spans="1:59" x14ac:dyDescent="0.3">
      <c r="A483" s="4" t="s">
        <v>464</v>
      </c>
      <c r="B483" s="13"/>
      <c r="C483" s="13" t="s">
        <v>1146</v>
      </c>
      <c r="D483" s="101" t="s">
        <v>1890</v>
      </c>
      <c r="E483" s="102"/>
      <c r="F483" s="13" t="s">
        <v>2384</v>
      </c>
      <c r="G483" s="21">
        <v>20</v>
      </c>
      <c r="H483" s="21">
        <v>0</v>
      </c>
      <c r="I483" s="21">
        <f t="shared" si="410"/>
        <v>0</v>
      </c>
      <c r="J483" s="21">
        <f t="shared" si="411"/>
        <v>0</v>
      </c>
      <c r="K483" s="21">
        <f t="shared" si="412"/>
        <v>0</v>
      </c>
      <c r="L483" s="21">
        <v>0</v>
      </c>
      <c r="M483" s="21">
        <f t="shared" si="413"/>
        <v>0</v>
      </c>
      <c r="N483" s="35"/>
      <c r="O483" s="39"/>
      <c r="U483" s="41">
        <f t="shared" si="414"/>
        <v>0</v>
      </c>
      <c r="W483" s="41">
        <f t="shared" si="415"/>
        <v>0</v>
      </c>
      <c r="X483" s="41">
        <f t="shared" si="416"/>
        <v>0</v>
      </c>
      <c r="Y483" s="41">
        <f t="shared" si="417"/>
        <v>0</v>
      </c>
      <c r="Z483" s="41">
        <f t="shared" si="418"/>
        <v>0</v>
      </c>
      <c r="AA483" s="41">
        <f t="shared" si="419"/>
        <v>0</v>
      </c>
      <c r="AB483" s="41">
        <f t="shared" si="420"/>
        <v>0</v>
      </c>
      <c r="AC483" s="41">
        <f t="shared" si="421"/>
        <v>0</v>
      </c>
      <c r="AD483" s="31"/>
      <c r="AE483" s="21">
        <f t="shared" si="422"/>
        <v>0</v>
      </c>
      <c r="AF483" s="21">
        <f t="shared" si="423"/>
        <v>0</v>
      </c>
      <c r="AG483" s="21">
        <f t="shared" si="424"/>
        <v>0</v>
      </c>
      <c r="AI483" s="41">
        <v>21</v>
      </c>
      <c r="AJ483" s="41">
        <f t="shared" si="425"/>
        <v>0</v>
      </c>
      <c r="AK483" s="41">
        <f t="shared" si="426"/>
        <v>0</v>
      </c>
      <c r="AL483" s="42" t="s">
        <v>13</v>
      </c>
      <c r="AQ483" s="41">
        <f t="shared" si="427"/>
        <v>0</v>
      </c>
      <c r="AR483" s="41">
        <f t="shared" si="428"/>
        <v>0</v>
      </c>
      <c r="AS483" s="41">
        <f t="shared" si="429"/>
        <v>0</v>
      </c>
      <c r="AT483" s="44" t="s">
        <v>2441</v>
      </c>
      <c r="AU483" s="44" t="s">
        <v>2481</v>
      </c>
      <c r="AV483" s="31" t="s">
        <v>2486</v>
      </c>
      <c r="AX483" s="41">
        <f t="shared" si="430"/>
        <v>0</v>
      </c>
      <c r="AY483" s="41">
        <f t="shared" si="431"/>
        <v>0</v>
      </c>
      <c r="AZ483" s="41">
        <v>0</v>
      </c>
      <c r="BA483" s="41">
        <f t="shared" si="432"/>
        <v>0</v>
      </c>
      <c r="BC483" s="21">
        <f t="shared" si="433"/>
        <v>0</v>
      </c>
      <c r="BD483" s="21">
        <f t="shared" si="434"/>
        <v>0</v>
      </c>
      <c r="BE483" s="21">
        <f t="shared" si="435"/>
        <v>0</v>
      </c>
      <c r="BF483" s="21" t="s">
        <v>2492</v>
      </c>
      <c r="BG483" s="41">
        <v>7321</v>
      </c>
    </row>
    <row r="484" spans="1:59" x14ac:dyDescent="0.3">
      <c r="A484" s="4" t="s">
        <v>465</v>
      </c>
      <c r="B484" s="13"/>
      <c r="C484" s="13" t="s">
        <v>1146</v>
      </c>
      <c r="D484" s="101" t="s">
        <v>1890</v>
      </c>
      <c r="E484" s="102"/>
      <c r="F484" s="13" t="s">
        <v>2384</v>
      </c>
      <c r="G484" s="21">
        <v>2</v>
      </c>
      <c r="H484" s="21">
        <v>0</v>
      </c>
      <c r="I484" s="21">
        <f t="shared" si="410"/>
        <v>0</v>
      </c>
      <c r="J484" s="21">
        <f t="shared" si="411"/>
        <v>0</v>
      </c>
      <c r="K484" s="21">
        <f t="shared" si="412"/>
        <v>0</v>
      </c>
      <c r="L484" s="21">
        <v>0</v>
      </c>
      <c r="M484" s="21">
        <f t="shared" si="413"/>
        <v>0</v>
      </c>
      <c r="N484" s="35"/>
      <c r="O484" s="39"/>
      <c r="U484" s="41">
        <f t="shared" si="414"/>
        <v>0</v>
      </c>
      <c r="W484" s="41">
        <f t="shared" si="415"/>
        <v>0</v>
      </c>
      <c r="X484" s="41">
        <f t="shared" si="416"/>
        <v>0</v>
      </c>
      <c r="Y484" s="41">
        <f t="shared" si="417"/>
        <v>0</v>
      </c>
      <c r="Z484" s="41">
        <f t="shared" si="418"/>
        <v>0</v>
      </c>
      <c r="AA484" s="41">
        <f t="shared" si="419"/>
        <v>0</v>
      </c>
      <c r="AB484" s="41">
        <f t="shared" si="420"/>
        <v>0</v>
      </c>
      <c r="AC484" s="41">
        <f t="shared" si="421"/>
        <v>0</v>
      </c>
      <c r="AD484" s="31"/>
      <c r="AE484" s="21">
        <f t="shared" si="422"/>
        <v>0</v>
      </c>
      <c r="AF484" s="21">
        <f t="shared" si="423"/>
        <v>0</v>
      </c>
      <c r="AG484" s="21">
        <f t="shared" si="424"/>
        <v>0</v>
      </c>
      <c r="AI484" s="41">
        <v>21</v>
      </c>
      <c r="AJ484" s="41">
        <f t="shared" si="425"/>
        <v>0</v>
      </c>
      <c r="AK484" s="41">
        <f t="shared" si="426"/>
        <v>0</v>
      </c>
      <c r="AL484" s="42" t="s">
        <v>13</v>
      </c>
      <c r="AQ484" s="41">
        <f t="shared" si="427"/>
        <v>0</v>
      </c>
      <c r="AR484" s="41">
        <f t="shared" si="428"/>
        <v>0</v>
      </c>
      <c r="AS484" s="41">
        <f t="shared" si="429"/>
        <v>0</v>
      </c>
      <c r="AT484" s="44" t="s">
        <v>2441</v>
      </c>
      <c r="AU484" s="44" t="s">
        <v>2481</v>
      </c>
      <c r="AV484" s="31" t="s">
        <v>2486</v>
      </c>
      <c r="AX484" s="41">
        <f t="shared" si="430"/>
        <v>0</v>
      </c>
      <c r="AY484" s="41">
        <f t="shared" si="431"/>
        <v>0</v>
      </c>
      <c r="AZ484" s="41">
        <v>0</v>
      </c>
      <c r="BA484" s="41">
        <f t="shared" si="432"/>
        <v>0</v>
      </c>
      <c r="BC484" s="21">
        <f t="shared" si="433"/>
        <v>0</v>
      </c>
      <c r="BD484" s="21">
        <f t="shared" si="434"/>
        <v>0</v>
      </c>
      <c r="BE484" s="21">
        <f t="shared" si="435"/>
        <v>0</v>
      </c>
      <c r="BF484" s="21" t="s">
        <v>2492</v>
      </c>
      <c r="BG484" s="41">
        <v>7321</v>
      </c>
    </row>
    <row r="485" spans="1:59" x14ac:dyDescent="0.3">
      <c r="A485" s="4" t="s">
        <v>466</v>
      </c>
      <c r="B485" s="13"/>
      <c r="C485" s="13" t="s">
        <v>1146</v>
      </c>
      <c r="D485" s="101" t="s">
        <v>1922</v>
      </c>
      <c r="E485" s="102"/>
      <c r="F485" s="13" t="s">
        <v>2386</v>
      </c>
      <c r="G485" s="21">
        <v>2</v>
      </c>
      <c r="H485" s="21">
        <v>0</v>
      </c>
      <c r="I485" s="21">
        <f t="shared" ref="I485:I516" si="436">G485*AJ485</f>
        <v>0</v>
      </c>
      <c r="J485" s="21">
        <f t="shared" ref="J485:J516" si="437">G485*AK485</f>
        <v>0</v>
      </c>
      <c r="K485" s="21">
        <f t="shared" ref="K485:K516" si="438">G485*H485</f>
        <v>0</v>
      </c>
      <c r="L485" s="21">
        <v>0</v>
      </c>
      <c r="M485" s="21">
        <f t="shared" ref="M485:M516" si="439">G485*L485</f>
        <v>0</v>
      </c>
      <c r="N485" s="35"/>
      <c r="O485" s="39"/>
      <c r="U485" s="41">
        <f t="shared" ref="U485:U516" si="440">IF(AL485="5",BE485,0)</f>
        <v>0</v>
      </c>
      <c r="W485" s="41">
        <f t="shared" ref="W485:W516" si="441">IF(AL485="1",BC485,0)</f>
        <v>0</v>
      </c>
      <c r="X485" s="41">
        <f t="shared" ref="X485:X516" si="442">IF(AL485="1",BD485,0)</f>
        <v>0</v>
      </c>
      <c r="Y485" s="41">
        <f t="shared" ref="Y485:Y516" si="443">IF(AL485="7",BC485,0)</f>
        <v>0</v>
      </c>
      <c r="Z485" s="41">
        <f t="shared" ref="Z485:Z516" si="444">IF(AL485="7",BD485,0)</f>
        <v>0</v>
      </c>
      <c r="AA485" s="41">
        <f t="shared" ref="AA485:AA516" si="445">IF(AL485="2",BC485,0)</f>
        <v>0</v>
      </c>
      <c r="AB485" s="41">
        <f t="shared" ref="AB485:AB516" si="446">IF(AL485="2",BD485,0)</f>
        <v>0</v>
      </c>
      <c r="AC485" s="41">
        <f t="shared" ref="AC485:AC516" si="447">IF(AL485="0",BE485,0)</f>
        <v>0</v>
      </c>
      <c r="AD485" s="31"/>
      <c r="AE485" s="21">
        <f t="shared" ref="AE485:AE516" si="448">IF(AI485=0,K485,0)</f>
        <v>0</v>
      </c>
      <c r="AF485" s="21">
        <f t="shared" ref="AF485:AF516" si="449">IF(AI485=15,K485,0)</f>
        <v>0</v>
      </c>
      <c r="AG485" s="21">
        <f t="shared" ref="AG485:AG516" si="450">IF(AI485=21,K485,0)</f>
        <v>0</v>
      </c>
      <c r="AI485" s="41">
        <v>21</v>
      </c>
      <c r="AJ485" s="41">
        <f t="shared" ref="AJ485:AJ516" si="451">H485*0</f>
        <v>0</v>
      </c>
      <c r="AK485" s="41">
        <f t="shared" ref="AK485:AK516" si="452">H485*(1-0)</f>
        <v>0</v>
      </c>
      <c r="AL485" s="42" t="s">
        <v>13</v>
      </c>
      <c r="AQ485" s="41">
        <f t="shared" ref="AQ485:AQ516" si="453">AR485+AS485</f>
        <v>0</v>
      </c>
      <c r="AR485" s="41">
        <f t="shared" ref="AR485:AR516" si="454">G485*AJ485</f>
        <v>0</v>
      </c>
      <c r="AS485" s="41">
        <f t="shared" ref="AS485:AS516" si="455">G485*AK485</f>
        <v>0</v>
      </c>
      <c r="AT485" s="44" t="s">
        <v>2441</v>
      </c>
      <c r="AU485" s="44" t="s">
        <v>2481</v>
      </c>
      <c r="AV485" s="31" t="s">
        <v>2486</v>
      </c>
      <c r="AX485" s="41">
        <f t="shared" ref="AX485:AX516" si="456">AR485+AS485</f>
        <v>0</v>
      </c>
      <c r="AY485" s="41">
        <f t="shared" ref="AY485:AY516" si="457">H485/(100-AZ485)*100</f>
        <v>0</v>
      </c>
      <c r="AZ485" s="41">
        <v>0</v>
      </c>
      <c r="BA485" s="41">
        <f t="shared" ref="BA485:BA516" si="458">M485</f>
        <v>0</v>
      </c>
      <c r="BC485" s="21">
        <f t="shared" ref="BC485:BC516" si="459">G485*AJ485</f>
        <v>0</v>
      </c>
      <c r="BD485" s="21">
        <f t="shared" ref="BD485:BD516" si="460">G485*AK485</f>
        <v>0</v>
      </c>
      <c r="BE485" s="21">
        <f t="shared" ref="BE485:BE516" si="461">G485*H485</f>
        <v>0</v>
      </c>
      <c r="BF485" s="21" t="s">
        <v>2492</v>
      </c>
      <c r="BG485" s="41">
        <v>7321</v>
      </c>
    </row>
    <row r="486" spans="1:59" x14ac:dyDescent="0.3">
      <c r="A486" s="4" t="s">
        <v>467</v>
      </c>
      <c r="B486" s="13"/>
      <c r="C486" s="13" t="s">
        <v>1146</v>
      </c>
      <c r="D486" s="101" t="s">
        <v>1917</v>
      </c>
      <c r="E486" s="102"/>
      <c r="F486" s="13" t="s">
        <v>2386</v>
      </c>
      <c r="G486" s="21">
        <v>12</v>
      </c>
      <c r="H486" s="21">
        <v>0</v>
      </c>
      <c r="I486" s="21">
        <f t="shared" si="436"/>
        <v>0</v>
      </c>
      <c r="J486" s="21">
        <f t="shared" si="437"/>
        <v>0</v>
      </c>
      <c r="K486" s="21">
        <f t="shared" si="438"/>
        <v>0</v>
      </c>
      <c r="L486" s="21">
        <v>0</v>
      </c>
      <c r="M486" s="21">
        <f t="shared" si="439"/>
        <v>0</v>
      </c>
      <c r="N486" s="35"/>
      <c r="O486" s="39"/>
      <c r="U486" s="41">
        <f t="shared" si="440"/>
        <v>0</v>
      </c>
      <c r="W486" s="41">
        <f t="shared" si="441"/>
        <v>0</v>
      </c>
      <c r="X486" s="41">
        <f t="shared" si="442"/>
        <v>0</v>
      </c>
      <c r="Y486" s="41">
        <f t="shared" si="443"/>
        <v>0</v>
      </c>
      <c r="Z486" s="41">
        <f t="shared" si="444"/>
        <v>0</v>
      </c>
      <c r="AA486" s="41">
        <f t="shared" si="445"/>
        <v>0</v>
      </c>
      <c r="AB486" s="41">
        <f t="shared" si="446"/>
        <v>0</v>
      </c>
      <c r="AC486" s="41">
        <f t="shared" si="447"/>
        <v>0</v>
      </c>
      <c r="AD486" s="31"/>
      <c r="AE486" s="21">
        <f t="shared" si="448"/>
        <v>0</v>
      </c>
      <c r="AF486" s="21">
        <f t="shared" si="449"/>
        <v>0</v>
      </c>
      <c r="AG486" s="21">
        <f t="shared" si="450"/>
        <v>0</v>
      </c>
      <c r="AI486" s="41">
        <v>21</v>
      </c>
      <c r="AJ486" s="41">
        <f t="shared" si="451"/>
        <v>0</v>
      </c>
      <c r="AK486" s="41">
        <f t="shared" si="452"/>
        <v>0</v>
      </c>
      <c r="AL486" s="42" t="s">
        <v>13</v>
      </c>
      <c r="AQ486" s="41">
        <f t="shared" si="453"/>
        <v>0</v>
      </c>
      <c r="AR486" s="41">
        <f t="shared" si="454"/>
        <v>0</v>
      </c>
      <c r="AS486" s="41">
        <f t="shared" si="455"/>
        <v>0</v>
      </c>
      <c r="AT486" s="44" t="s">
        <v>2441</v>
      </c>
      <c r="AU486" s="44" t="s">
        <v>2481</v>
      </c>
      <c r="AV486" s="31" t="s">
        <v>2486</v>
      </c>
      <c r="AX486" s="41">
        <f t="shared" si="456"/>
        <v>0</v>
      </c>
      <c r="AY486" s="41">
        <f t="shared" si="457"/>
        <v>0</v>
      </c>
      <c r="AZ486" s="41">
        <v>0</v>
      </c>
      <c r="BA486" s="41">
        <f t="shared" si="458"/>
        <v>0</v>
      </c>
      <c r="BC486" s="21">
        <f t="shared" si="459"/>
        <v>0</v>
      </c>
      <c r="BD486" s="21">
        <f t="shared" si="460"/>
        <v>0</v>
      </c>
      <c r="BE486" s="21">
        <f t="shared" si="461"/>
        <v>0</v>
      </c>
      <c r="BF486" s="21" t="s">
        <v>2492</v>
      </c>
      <c r="BG486" s="41">
        <v>7321</v>
      </c>
    </row>
    <row r="487" spans="1:59" x14ac:dyDescent="0.3">
      <c r="A487" s="4" t="s">
        <v>468</v>
      </c>
      <c r="B487" s="13"/>
      <c r="C487" s="13" t="s">
        <v>1146</v>
      </c>
      <c r="D487" s="101" t="s">
        <v>1923</v>
      </c>
      <c r="E487" s="102"/>
      <c r="F487" s="13" t="s">
        <v>2386</v>
      </c>
      <c r="G487" s="21">
        <v>1</v>
      </c>
      <c r="H487" s="21">
        <v>0</v>
      </c>
      <c r="I487" s="21">
        <f t="shared" si="436"/>
        <v>0</v>
      </c>
      <c r="J487" s="21">
        <f t="shared" si="437"/>
        <v>0</v>
      </c>
      <c r="K487" s="21">
        <f t="shared" si="438"/>
        <v>0</v>
      </c>
      <c r="L487" s="21">
        <v>0</v>
      </c>
      <c r="M487" s="21">
        <f t="shared" si="439"/>
        <v>0</v>
      </c>
      <c r="N487" s="35"/>
      <c r="O487" s="39"/>
      <c r="U487" s="41">
        <f t="shared" si="440"/>
        <v>0</v>
      </c>
      <c r="W487" s="41">
        <f t="shared" si="441"/>
        <v>0</v>
      </c>
      <c r="X487" s="41">
        <f t="shared" si="442"/>
        <v>0</v>
      </c>
      <c r="Y487" s="41">
        <f t="shared" si="443"/>
        <v>0</v>
      </c>
      <c r="Z487" s="41">
        <f t="shared" si="444"/>
        <v>0</v>
      </c>
      <c r="AA487" s="41">
        <f t="shared" si="445"/>
        <v>0</v>
      </c>
      <c r="AB487" s="41">
        <f t="shared" si="446"/>
        <v>0</v>
      </c>
      <c r="AC487" s="41">
        <f t="shared" si="447"/>
        <v>0</v>
      </c>
      <c r="AD487" s="31"/>
      <c r="AE487" s="21">
        <f t="shared" si="448"/>
        <v>0</v>
      </c>
      <c r="AF487" s="21">
        <f t="shared" si="449"/>
        <v>0</v>
      </c>
      <c r="AG487" s="21">
        <f t="shared" si="450"/>
        <v>0</v>
      </c>
      <c r="AI487" s="41">
        <v>21</v>
      </c>
      <c r="AJ487" s="41">
        <f t="shared" si="451"/>
        <v>0</v>
      </c>
      <c r="AK487" s="41">
        <f t="shared" si="452"/>
        <v>0</v>
      </c>
      <c r="AL487" s="42" t="s">
        <v>13</v>
      </c>
      <c r="AQ487" s="41">
        <f t="shared" si="453"/>
        <v>0</v>
      </c>
      <c r="AR487" s="41">
        <f t="shared" si="454"/>
        <v>0</v>
      </c>
      <c r="AS487" s="41">
        <f t="shared" si="455"/>
        <v>0</v>
      </c>
      <c r="AT487" s="44" t="s">
        <v>2441</v>
      </c>
      <c r="AU487" s="44" t="s">
        <v>2481</v>
      </c>
      <c r="AV487" s="31" t="s">
        <v>2486</v>
      </c>
      <c r="AX487" s="41">
        <f t="shared" si="456"/>
        <v>0</v>
      </c>
      <c r="AY487" s="41">
        <f t="shared" si="457"/>
        <v>0</v>
      </c>
      <c r="AZ487" s="41">
        <v>0</v>
      </c>
      <c r="BA487" s="41">
        <f t="shared" si="458"/>
        <v>0</v>
      </c>
      <c r="BC487" s="21">
        <f t="shared" si="459"/>
        <v>0</v>
      </c>
      <c r="BD487" s="21">
        <f t="shared" si="460"/>
        <v>0</v>
      </c>
      <c r="BE487" s="21">
        <f t="shared" si="461"/>
        <v>0</v>
      </c>
      <c r="BF487" s="21" t="s">
        <v>2492</v>
      </c>
      <c r="BG487" s="41">
        <v>7321</v>
      </c>
    </row>
    <row r="488" spans="1:59" x14ac:dyDescent="0.3">
      <c r="A488" s="4" t="s">
        <v>469</v>
      </c>
      <c r="B488" s="13"/>
      <c r="C488" s="13" t="s">
        <v>1146</v>
      </c>
      <c r="D488" s="101" t="s">
        <v>1877</v>
      </c>
      <c r="E488" s="102"/>
      <c r="F488" s="13" t="s">
        <v>2384</v>
      </c>
      <c r="G488" s="21">
        <v>36</v>
      </c>
      <c r="H488" s="21">
        <v>0</v>
      </c>
      <c r="I488" s="21">
        <f t="shared" si="436"/>
        <v>0</v>
      </c>
      <c r="J488" s="21">
        <f t="shared" si="437"/>
        <v>0</v>
      </c>
      <c r="K488" s="21">
        <f t="shared" si="438"/>
        <v>0</v>
      </c>
      <c r="L488" s="21">
        <v>0</v>
      </c>
      <c r="M488" s="21">
        <f t="shared" si="439"/>
        <v>0</v>
      </c>
      <c r="N488" s="35"/>
      <c r="O488" s="39"/>
      <c r="U488" s="41">
        <f t="shared" si="440"/>
        <v>0</v>
      </c>
      <c r="W488" s="41">
        <f t="shared" si="441"/>
        <v>0</v>
      </c>
      <c r="X488" s="41">
        <f t="shared" si="442"/>
        <v>0</v>
      </c>
      <c r="Y488" s="41">
        <f t="shared" si="443"/>
        <v>0</v>
      </c>
      <c r="Z488" s="41">
        <f t="shared" si="444"/>
        <v>0</v>
      </c>
      <c r="AA488" s="41">
        <f t="shared" si="445"/>
        <v>0</v>
      </c>
      <c r="AB488" s="41">
        <f t="shared" si="446"/>
        <v>0</v>
      </c>
      <c r="AC488" s="41">
        <f t="shared" si="447"/>
        <v>0</v>
      </c>
      <c r="AD488" s="31"/>
      <c r="AE488" s="21">
        <f t="shared" si="448"/>
        <v>0</v>
      </c>
      <c r="AF488" s="21">
        <f t="shared" si="449"/>
        <v>0</v>
      </c>
      <c r="AG488" s="21">
        <f t="shared" si="450"/>
        <v>0</v>
      </c>
      <c r="AI488" s="41">
        <v>21</v>
      </c>
      <c r="AJ488" s="41">
        <f t="shared" si="451"/>
        <v>0</v>
      </c>
      <c r="AK488" s="41">
        <f t="shared" si="452"/>
        <v>0</v>
      </c>
      <c r="AL488" s="42" t="s">
        <v>13</v>
      </c>
      <c r="AQ488" s="41">
        <f t="shared" si="453"/>
        <v>0</v>
      </c>
      <c r="AR488" s="41">
        <f t="shared" si="454"/>
        <v>0</v>
      </c>
      <c r="AS488" s="41">
        <f t="shared" si="455"/>
        <v>0</v>
      </c>
      <c r="AT488" s="44" t="s">
        <v>2441</v>
      </c>
      <c r="AU488" s="44" t="s">
        <v>2481</v>
      </c>
      <c r="AV488" s="31" t="s">
        <v>2486</v>
      </c>
      <c r="AX488" s="41">
        <f t="shared" si="456"/>
        <v>0</v>
      </c>
      <c r="AY488" s="41">
        <f t="shared" si="457"/>
        <v>0</v>
      </c>
      <c r="AZ488" s="41">
        <v>0</v>
      </c>
      <c r="BA488" s="41">
        <f t="shared" si="458"/>
        <v>0</v>
      </c>
      <c r="BC488" s="21">
        <f t="shared" si="459"/>
        <v>0</v>
      </c>
      <c r="BD488" s="21">
        <f t="shared" si="460"/>
        <v>0</v>
      </c>
      <c r="BE488" s="21">
        <f t="shared" si="461"/>
        <v>0</v>
      </c>
      <c r="BF488" s="21" t="s">
        <v>2492</v>
      </c>
      <c r="BG488" s="41">
        <v>7321</v>
      </c>
    </row>
    <row r="489" spans="1:59" x14ac:dyDescent="0.3">
      <c r="A489" s="4" t="s">
        <v>470</v>
      </c>
      <c r="B489" s="13"/>
      <c r="C489" s="13" t="s">
        <v>1146</v>
      </c>
      <c r="D489" s="101" t="s">
        <v>1879</v>
      </c>
      <c r="E489" s="102"/>
      <c r="F489" s="13" t="s">
        <v>2384</v>
      </c>
      <c r="G489" s="21">
        <v>13</v>
      </c>
      <c r="H489" s="21">
        <v>0</v>
      </c>
      <c r="I489" s="21">
        <f t="shared" si="436"/>
        <v>0</v>
      </c>
      <c r="J489" s="21">
        <f t="shared" si="437"/>
        <v>0</v>
      </c>
      <c r="K489" s="21">
        <f t="shared" si="438"/>
        <v>0</v>
      </c>
      <c r="L489" s="21">
        <v>0</v>
      </c>
      <c r="M489" s="21">
        <f t="shared" si="439"/>
        <v>0</v>
      </c>
      <c r="N489" s="35"/>
      <c r="O489" s="39"/>
      <c r="U489" s="41">
        <f t="shared" si="440"/>
        <v>0</v>
      </c>
      <c r="W489" s="41">
        <f t="shared" si="441"/>
        <v>0</v>
      </c>
      <c r="X489" s="41">
        <f t="shared" si="442"/>
        <v>0</v>
      </c>
      <c r="Y489" s="41">
        <f t="shared" si="443"/>
        <v>0</v>
      </c>
      <c r="Z489" s="41">
        <f t="shared" si="444"/>
        <v>0</v>
      </c>
      <c r="AA489" s="41">
        <f t="shared" si="445"/>
        <v>0</v>
      </c>
      <c r="AB489" s="41">
        <f t="shared" si="446"/>
        <v>0</v>
      </c>
      <c r="AC489" s="41">
        <f t="shared" si="447"/>
        <v>0</v>
      </c>
      <c r="AD489" s="31"/>
      <c r="AE489" s="21">
        <f t="shared" si="448"/>
        <v>0</v>
      </c>
      <c r="AF489" s="21">
        <f t="shared" si="449"/>
        <v>0</v>
      </c>
      <c r="AG489" s="21">
        <f t="shared" si="450"/>
        <v>0</v>
      </c>
      <c r="AI489" s="41">
        <v>21</v>
      </c>
      <c r="AJ489" s="41">
        <f t="shared" si="451"/>
        <v>0</v>
      </c>
      <c r="AK489" s="41">
        <f t="shared" si="452"/>
        <v>0</v>
      </c>
      <c r="AL489" s="42" t="s">
        <v>13</v>
      </c>
      <c r="AQ489" s="41">
        <f t="shared" si="453"/>
        <v>0</v>
      </c>
      <c r="AR489" s="41">
        <f t="shared" si="454"/>
        <v>0</v>
      </c>
      <c r="AS489" s="41">
        <f t="shared" si="455"/>
        <v>0</v>
      </c>
      <c r="AT489" s="44" t="s">
        <v>2441</v>
      </c>
      <c r="AU489" s="44" t="s">
        <v>2481</v>
      </c>
      <c r="AV489" s="31" t="s">
        <v>2486</v>
      </c>
      <c r="AX489" s="41">
        <f t="shared" si="456"/>
        <v>0</v>
      </c>
      <c r="AY489" s="41">
        <f t="shared" si="457"/>
        <v>0</v>
      </c>
      <c r="AZ489" s="41">
        <v>0</v>
      </c>
      <c r="BA489" s="41">
        <f t="shared" si="458"/>
        <v>0</v>
      </c>
      <c r="BC489" s="21">
        <f t="shared" si="459"/>
        <v>0</v>
      </c>
      <c r="BD489" s="21">
        <f t="shared" si="460"/>
        <v>0</v>
      </c>
      <c r="BE489" s="21">
        <f t="shared" si="461"/>
        <v>0</v>
      </c>
      <c r="BF489" s="21" t="s">
        <v>2492</v>
      </c>
      <c r="BG489" s="41">
        <v>7321</v>
      </c>
    </row>
    <row r="490" spans="1:59" x14ac:dyDescent="0.3">
      <c r="A490" s="4" t="s">
        <v>471</v>
      </c>
      <c r="B490" s="13"/>
      <c r="C490" s="13" t="s">
        <v>1146</v>
      </c>
      <c r="D490" s="101" t="s">
        <v>1878</v>
      </c>
      <c r="E490" s="102"/>
      <c r="F490" s="13" t="s">
        <v>2385</v>
      </c>
      <c r="G490" s="21">
        <v>44</v>
      </c>
      <c r="H490" s="21">
        <v>0</v>
      </c>
      <c r="I490" s="21">
        <f t="shared" si="436"/>
        <v>0</v>
      </c>
      <c r="J490" s="21">
        <f t="shared" si="437"/>
        <v>0</v>
      </c>
      <c r="K490" s="21">
        <f t="shared" si="438"/>
        <v>0</v>
      </c>
      <c r="L490" s="21">
        <v>0</v>
      </c>
      <c r="M490" s="21">
        <f t="shared" si="439"/>
        <v>0</v>
      </c>
      <c r="N490" s="35"/>
      <c r="O490" s="39"/>
      <c r="U490" s="41">
        <f t="shared" si="440"/>
        <v>0</v>
      </c>
      <c r="W490" s="41">
        <f t="shared" si="441"/>
        <v>0</v>
      </c>
      <c r="X490" s="41">
        <f t="shared" si="442"/>
        <v>0</v>
      </c>
      <c r="Y490" s="41">
        <f t="shared" si="443"/>
        <v>0</v>
      </c>
      <c r="Z490" s="41">
        <f t="shared" si="444"/>
        <v>0</v>
      </c>
      <c r="AA490" s="41">
        <f t="shared" si="445"/>
        <v>0</v>
      </c>
      <c r="AB490" s="41">
        <f t="shared" si="446"/>
        <v>0</v>
      </c>
      <c r="AC490" s="41">
        <f t="shared" si="447"/>
        <v>0</v>
      </c>
      <c r="AD490" s="31"/>
      <c r="AE490" s="21">
        <f t="shared" si="448"/>
        <v>0</v>
      </c>
      <c r="AF490" s="21">
        <f t="shared" si="449"/>
        <v>0</v>
      </c>
      <c r="AG490" s="21">
        <f t="shared" si="450"/>
        <v>0</v>
      </c>
      <c r="AI490" s="41">
        <v>21</v>
      </c>
      <c r="AJ490" s="41">
        <f t="shared" si="451"/>
        <v>0</v>
      </c>
      <c r="AK490" s="41">
        <f t="shared" si="452"/>
        <v>0</v>
      </c>
      <c r="AL490" s="42" t="s">
        <v>13</v>
      </c>
      <c r="AQ490" s="41">
        <f t="shared" si="453"/>
        <v>0</v>
      </c>
      <c r="AR490" s="41">
        <f t="shared" si="454"/>
        <v>0</v>
      </c>
      <c r="AS490" s="41">
        <f t="shared" si="455"/>
        <v>0</v>
      </c>
      <c r="AT490" s="44" t="s">
        <v>2441</v>
      </c>
      <c r="AU490" s="44" t="s">
        <v>2481</v>
      </c>
      <c r="AV490" s="31" t="s">
        <v>2486</v>
      </c>
      <c r="AX490" s="41">
        <f t="shared" si="456"/>
        <v>0</v>
      </c>
      <c r="AY490" s="41">
        <f t="shared" si="457"/>
        <v>0</v>
      </c>
      <c r="AZ490" s="41">
        <v>0</v>
      </c>
      <c r="BA490" s="41">
        <f t="shared" si="458"/>
        <v>0</v>
      </c>
      <c r="BC490" s="21">
        <f t="shared" si="459"/>
        <v>0</v>
      </c>
      <c r="BD490" s="21">
        <f t="shared" si="460"/>
        <v>0</v>
      </c>
      <c r="BE490" s="21">
        <f t="shared" si="461"/>
        <v>0</v>
      </c>
      <c r="BF490" s="21" t="s">
        <v>2492</v>
      </c>
      <c r="BG490" s="41">
        <v>7321</v>
      </c>
    </row>
    <row r="491" spans="1:59" x14ac:dyDescent="0.3">
      <c r="A491" s="4" t="s">
        <v>472</v>
      </c>
      <c r="B491" s="13"/>
      <c r="C491" s="13" t="s">
        <v>1146</v>
      </c>
      <c r="D491" s="101" t="s">
        <v>1878</v>
      </c>
      <c r="E491" s="102"/>
      <c r="F491" s="13" t="s">
        <v>2385</v>
      </c>
      <c r="G491" s="21">
        <v>87</v>
      </c>
      <c r="H491" s="21">
        <v>0</v>
      </c>
      <c r="I491" s="21">
        <f t="shared" si="436"/>
        <v>0</v>
      </c>
      <c r="J491" s="21">
        <f t="shared" si="437"/>
        <v>0</v>
      </c>
      <c r="K491" s="21">
        <f t="shared" si="438"/>
        <v>0</v>
      </c>
      <c r="L491" s="21">
        <v>0</v>
      </c>
      <c r="M491" s="21">
        <f t="shared" si="439"/>
        <v>0</v>
      </c>
      <c r="N491" s="35"/>
      <c r="O491" s="39"/>
      <c r="U491" s="41">
        <f t="shared" si="440"/>
        <v>0</v>
      </c>
      <c r="W491" s="41">
        <f t="shared" si="441"/>
        <v>0</v>
      </c>
      <c r="X491" s="41">
        <f t="shared" si="442"/>
        <v>0</v>
      </c>
      <c r="Y491" s="41">
        <f t="shared" si="443"/>
        <v>0</v>
      </c>
      <c r="Z491" s="41">
        <f t="shared" si="444"/>
        <v>0</v>
      </c>
      <c r="AA491" s="41">
        <f t="shared" si="445"/>
        <v>0</v>
      </c>
      <c r="AB491" s="41">
        <f t="shared" si="446"/>
        <v>0</v>
      </c>
      <c r="AC491" s="41">
        <f t="shared" si="447"/>
        <v>0</v>
      </c>
      <c r="AD491" s="31"/>
      <c r="AE491" s="21">
        <f t="shared" si="448"/>
        <v>0</v>
      </c>
      <c r="AF491" s="21">
        <f t="shared" si="449"/>
        <v>0</v>
      </c>
      <c r="AG491" s="21">
        <f t="shared" si="450"/>
        <v>0</v>
      </c>
      <c r="AI491" s="41">
        <v>21</v>
      </c>
      <c r="AJ491" s="41">
        <f t="shared" si="451"/>
        <v>0</v>
      </c>
      <c r="AK491" s="41">
        <f t="shared" si="452"/>
        <v>0</v>
      </c>
      <c r="AL491" s="42" t="s">
        <v>13</v>
      </c>
      <c r="AQ491" s="41">
        <f t="shared" si="453"/>
        <v>0</v>
      </c>
      <c r="AR491" s="41">
        <f t="shared" si="454"/>
        <v>0</v>
      </c>
      <c r="AS491" s="41">
        <f t="shared" si="455"/>
        <v>0</v>
      </c>
      <c r="AT491" s="44" t="s">
        <v>2441</v>
      </c>
      <c r="AU491" s="44" t="s">
        <v>2481</v>
      </c>
      <c r="AV491" s="31" t="s">
        <v>2486</v>
      </c>
      <c r="AX491" s="41">
        <f t="shared" si="456"/>
        <v>0</v>
      </c>
      <c r="AY491" s="41">
        <f t="shared" si="457"/>
        <v>0</v>
      </c>
      <c r="AZ491" s="41">
        <v>0</v>
      </c>
      <c r="BA491" s="41">
        <f t="shared" si="458"/>
        <v>0</v>
      </c>
      <c r="BC491" s="21">
        <f t="shared" si="459"/>
        <v>0</v>
      </c>
      <c r="BD491" s="21">
        <f t="shared" si="460"/>
        <v>0</v>
      </c>
      <c r="BE491" s="21">
        <f t="shared" si="461"/>
        <v>0</v>
      </c>
      <c r="BF491" s="21" t="s">
        <v>2492</v>
      </c>
      <c r="BG491" s="41">
        <v>7321</v>
      </c>
    </row>
    <row r="492" spans="1:59" x14ac:dyDescent="0.3">
      <c r="A492" s="4" t="s">
        <v>473</v>
      </c>
      <c r="B492" s="13"/>
      <c r="C492" s="13" t="s">
        <v>1146</v>
      </c>
      <c r="D492" s="101" t="s">
        <v>1878</v>
      </c>
      <c r="E492" s="102"/>
      <c r="F492" s="13" t="s">
        <v>2385</v>
      </c>
      <c r="G492" s="21">
        <v>39</v>
      </c>
      <c r="H492" s="21">
        <v>0</v>
      </c>
      <c r="I492" s="21">
        <f t="shared" si="436"/>
        <v>0</v>
      </c>
      <c r="J492" s="21">
        <f t="shared" si="437"/>
        <v>0</v>
      </c>
      <c r="K492" s="21">
        <f t="shared" si="438"/>
        <v>0</v>
      </c>
      <c r="L492" s="21">
        <v>0</v>
      </c>
      <c r="M492" s="21">
        <f t="shared" si="439"/>
        <v>0</v>
      </c>
      <c r="N492" s="35"/>
      <c r="O492" s="39"/>
      <c r="U492" s="41">
        <f t="shared" si="440"/>
        <v>0</v>
      </c>
      <c r="W492" s="41">
        <f t="shared" si="441"/>
        <v>0</v>
      </c>
      <c r="X492" s="41">
        <f t="shared" si="442"/>
        <v>0</v>
      </c>
      <c r="Y492" s="41">
        <f t="shared" si="443"/>
        <v>0</v>
      </c>
      <c r="Z492" s="41">
        <f t="shared" si="444"/>
        <v>0</v>
      </c>
      <c r="AA492" s="41">
        <f t="shared" si="445"/>
        <v>0</v>
      </c>
      <c r="AB492" s="41">
        <f t="shared" si="446"/>
        <v>0</v>
      </c>
      <c r="AC492" s="41">
        <f t="shared" si="447"/>
        <v>0</v>
      </c>
      <c r="AD492" s="31"/>
      <c r="AE492" s="21">
        <f t="shared" si="448"/>
        <v>0</v>
      </c>
      <c r="AF492" s="21">
        <f t="shared" si="449"/>
        <v>0</v>
      </c>
      <c r="AG492" s="21">
        <f t="shared" si="450"/>
        <v>0</v>
      </c>
      <c r="AI492" s="41">
        <v>21</v>
      </c>
      <c r="AJ492" s="41">
        <f t="shared" si="451"/>
        <v>0</v>
      </c>
      <c r="AK492" s="41">
        <f t="shared" si="452"/>
        <v>0</v>
      </c>
      <c r="AL492" s="42" t="s">
        <v>13</v>
      </c>
      <c r="AQ492" s="41">
        <f t="shared" si="453"/>
        <v>0</v>
      </c>
      <c r="AR492" s="41">
        <f t="shared" si="454"/>
        <v>0</v>
      </c>
      <c r="AS492" s="41">
        <f t="shared" si="455"/>
        <v>0</v>
      </c>
      <c r="AT492" s="44" t="s">
        <v>2441</v>
      </c>
      <c r="AU492" s="44" t="s">
        <v>2481</v>
      </c>
      <c r="AV492" s="31" t="s">
        <v>2486</v>
      </c>
      <c r="AX492" s="41">
        <f t="shared" si="456"/>
        <v>0</v>
      </c>
      <c r="AY492" s="41">
        <f t="shared" si="457"/>
        <v>0</v>
      </c>
      <c r="AZ492" s="41">
        <v>0</v>
      </c>
      <c r="BA492" s="41">
        <f t="shared" si="458"/>
        <v>0</v>
      </c>
      <c r="BC492" s="21">
        <f t="shared" si="459"/>
        <v>0</v>
      </c>
      <c r="BD492" s="21">
        <f t="shared" si="460"/>
        <v>0</v>
      </c>
      <c r="BE492" s="21">
        <f t="shared" si="461"/>
        <v>0</v>
      </c>
      <c r="BF492" s="21" t="s">
        <v>2492</v>
      </c>
      <c r="BG492" s="41">
        <v>7321</v>
      </c>
    </row>
    <row r="493" spans="1:59" x14ac:dyDescent="0.3">
      <c r="A493" s="4" t="s">
        <v>474</v>
      </c>
      <c r="B493" s="13"/>
      <c r="C493" s="13" t="s">
        <v>1146</v>
      </c>
      <c r="D493" s="101" t="s">
        <v>1919</v>
      </c>
      <c r="E493" s="102"/>
      <c r="F493" s="13" t="s">
        <v>2385</v>
      </c>
      <c r="G493" s="21">
        <v>18</v>
      </c>
      <c r="H493" s="21">
        <v>0</v>
      </c>
      <c r="I493" s="21">
        <f t="shared" si="436"/>
        <v>0</v>
      </c>
      <c r="J493" s="21">
        <f t="shared" si="437"/>
        <v>0</v>
      </c>
      <c r="K493" s="21">
        <f t="shared" si="438"/>
        <v>0</v>
      </c>
      <c r="L493" s="21">
        <v>0</v>
      </c>
      <c r="M493" s="21">
        <f t="shared" si="439"/>
        <v>0</v>
      </c>
      <c r="N493" s="35"/>
      <c r="O493" s="39"/>
      <c r="U493" s="41">
        <f t="shared" si="440"/>
        <v>0</v>
      </c>
      <c r="W493" s="41">
        <f t="shared" si="441"/>
        <v>0</v>
      </c>
      <c r="X493" s="41">
        <f t="shared" si="442"/>
        <v>0</v>
      </c>
      <c r="Y493" s="41">
        <f t="shared" si="443"/>
        <v>0</v>
      </c>
      <c r="Z493" s="41">
        <f t="shared" si="444"/>
        <v>0</v>
      </c>
      <c r="AA493" s="41">
        <f t="shared" si="445"/>
        <v>0</v>
      </c>
      <c r="AB493" s="41">
        <f t="shared" si="446"/>
        <v>0</v>
      </c>
      <c r="AC493" s="41">
        <f t="shared" si="447"/>
        <v>0</v>
      </c>
      <c r="AD493" s="31"/>
      <c r="AE493" s="21">
        <f t="shared" si="448"/>
        <v>0</v>
      </c>
      <c r="AF493" s="21">
        <f t="shared" si="449"/>
        <v>0</v>
      </c>
      <c r="AG493" s="21">
        <f t="shared" si="450"/>
        <v>0</v>
      </c>
      <c r="AI493" s="41">
        <v>21</v>
      </c>
      <c r="AJ493" s="41">
        <f t="shared" si="451"/>
        <v>0</v>
      </c>
      <c r="AK493" s="41">
        <f t="shared" si="452"/>
        <v>0</v>
      </c>
      <c r="AL493" s="42" t="s">
        <v>13</v>
      </c>
      <c r="AQ493" s="41">
        <f t="shared" si="453"/>
        <v>0</v>
      </c>
      <c r="AR493" s="41">
        <f t="shared" si="454"/>
        <v>0</v>
      </c>
      <c r="AS493" s="41">
        <f t="shared" si="455"/>
        <v>0</v>
      </c>
      <c r="AT493" s="44" t="s">
        <v>2441</v>
      </c>
      <c r="AU493" s="44" t="s">
        <v>2481</v>
      </c>
      <c r="AV493" s="31" t="s">
        <v>2486</v>
      </c>
      <c r="AX493" s="41">
        <f t="shared" si="456"/>
        <v>0</v>
      </c>
      <c r="AY493" s="41">
        <f t="shared" si="457"/>
        <v>0</v>
      </c>
      <c r="AZ493" s="41">
        <v>0</v>
      </c>
      <c r="BA493" s="41">
        <f t="shared" si="458"/>
        <v>0</v>
      </c>
      <c r="BC493" s="21">
        <f t="shared" si="459"/>
        <v>0</v>
      </c>
      <c r="BD493" s="21">
        <f t="shared" si="460"/>
        <v>0</v>
      </c>
      <c r="BE493" s="21">
        <f t="shared" si="461"/>
        <v>0</v>
      </c>
      <c r="BF493" s="21" t="s">
        <v>2492</v>
      </c>
      <c r="BG493" s="41">
        <v>7321</v>
      </c>
    </row>
    <row r="494" spans="1:59" x14ac:dyDescent="0.3">
      <c r="A494" s="4" t="s">
        <v>475</v>
      </c>
      <c r="B494" s="13"/>
      <c r="C494" s="13" t="s">
        <v>1146</v>
      </c>
      <c r="D494" s="101" t="s">
        <v>1919</v>
      </c>
      <c r="E494" s="102"/>
      <c r="F494" s="13" t="s">
        <v>2385</v>
      </c>
      <c r="G494" s="21">
        <v>9</v>
      </c>
      <c r="H494" s="21">
        <v>0</v>
      </c>
      <c r="I494" s="21">
        <f t="shared" si="436"/>
        <v>0</v>
      </c>
      <c r="J494" s="21">
        <f t="shared" si="437"/>
        <v>0</v>
      </c>
      <c r="K494" s="21">
        <f t="shared" si="438"/>
        <v>0</v>
      </c>
      <c r="L494" s="21">
        <v>0</v>
      </c>
      <c r="M494" s="21">
        <f t="shared" si="439"/>
        <v>0</v>
      </c>
      <c r="N494" s="35"/>
      <c r="O494" s="39"/>
      <c r="U494" s="41">
        <f t="shared" si="440"/>
        <v>0</v>
      </c>
      <c r="W494" s="41">
        <f t="shared" si="441"/>
        <v>0</v>
      </c>
      <c r="X494" s="41">
        <f t="shared" si="442"/>
        <v>0</v>
      </c>
      <c r="Y494" s="41">
        <f t="shared" si="443"/>
        <v>0</v>
      </c>
      <c r="Z494" s="41">
        <f t="shared" si="444"/>
        <v>0</v>
      </c>
      <c r="AA494" s="41">
        <f t="shared" si="445"/>
        <v>0</v>
      </c>
      <c r="AB494" s="41">
        <f t="shared" si="446"/>
        <v>0</v>
      </c>
      <c r="AC494" s="41">
        <f t="shared" si="447"/>
        <v>0</v>
      </c>
      <c r="AD494" s="31"/>
      <c r="AE494" s="21">
        <f t="shared" si="448"/>
        <v>0</v>
      </c>
      <c r="AF494" s="21">
        <f t="shared" si="449"/>
        <v>0</v>
      </c>
      <c r="AG494" s="21">
        <f t="shared" si="450"/>
        <v>0</v>
      </c>
      <c r="AI494" s="41">
        <v>21</v>
      </c>
      <c r="AJ494" s="41">
        <f t="shared" si="451"/>
        <v>0</v>
      </c>
      <c r="AK494" s="41">
        <f t="shared" si="452"/>
        <v>0</v>
      </c>
      <c r="AL494" s="42" t="s">
        <v>13</v>
      </c>
      <c r="AQ494" s="41">
        <f t="shared" si="453"/>
        <v>0</v>
      </c>
      <c r="AR494" s="41">
        <f t="shared" si="454"/>
        <v>0</v>
      </c>
      <c r="AS494" s="41">
        <f t="shared" si="455"/>
        <v>0</v>
      </c>
      <c r="AT494" s="44" t="s">
        <v>2441</v>
      </c>
      <c r="AU494" s="44" t="s">
        <v>2481</v>
      </c>
      <c r="AV494" s="31" t="s">
        <v>2486</v>
      </c>
      <c r="AX494" s="41">
        <f t="shared" si="456"/>
        <v>0</v>
      </c>
      <c r="AY494" s="41">
        <f t="shared" si="457"/>
        <v>0</v>
      </c>
      <c r="AZ494" s="41">
        <v>0</v>
      </c>
      <c r="BA494" s="41">
        <f t="shared" si="458"/>
        <v>0</v>
      </c>
      <c r="BC494" s="21">
        <f t="shared" si="459"/>
        <v>0</v>
      </c>
      <c r="BD494" s="21">
        <f t="shared" si="460"/>
        <v>0</v>
      </c>
      <c r="BE494" s="21">
        <f t="shared" si="461"/>
        <v>0</v>
      </c>
      <c r="BF494" s="21" t="s">
        <v>2492</v>
      </c>
      <c r="BG494" s="41">
        <v>7321</v>
      </c>
    </row>
    <row r="495" spans="1:59" x14ac:dyDescent="0.3">
      <c r="A495" s="4" t="s">
        <v>476</v>
      </c>
      <c r="B495" s="13"/>
      <c r="C495" s="13" t="s">
        <v>1146</v>
      </c>
      <c r="D495" s="101" t="s">
        <v>1919</v>
      </c>
      <c r="E495" s="102"/>
      <c r="F495" s="13" t="s">
        <v>2385</v>
      </c>
      <c r="G495" s="21">
        <v>46</v>
      </c>
      <c r="H495" s="21">
        <v>0</v>
      </c>
      <c r="I495" s="21">
        <f t="shared" si="436"/>
        <v>0</v>
      </c>
      <c r="J495" s="21">
        <f t="shared" si="437"/>
        <v>0</v>
      </c>
      <c r="K495" s="21">
        <f t="shared" si="438"/>
        <v>0</v>
      </c>
      <c r="L495" s="21">
        <v>0</v>
      </c>
      <c r="M495" s="21">
        <f t="shared" si="439"/>
        <v>0</v>
      </c>
      <c r="N495" s="35"/>
      <c r="O495" s="39"/>
      <c r="U495" s="41">
        <f t="shared" si="440"/>
        <v>0</v>
      </c>
      <c r="W495" s="41">
        <f t="shared" si="441"/>
        <v>0</v>
      </c>
      <c r="X495" s="41">
        <f t="shared" si="442"/>
        <v>0</v>
      </c>
      <c r="Y495" s="41">
        <f t="shared" si="443"/>
        <v>0</v>
      </c>
      <c r="Z495" s="41">
        <f t="shared" si="444"/>
        <v>0</v>
      </c>
      <c r="AA495" s="41">
        <f t="shared" si="445"/>
        <v>0</v>
      </c>
      <c r="AB495" s="41">
        <f t="shared" si="446"/>
        <v>0</v>
      </c>
      <c r="AC495" s="41">
        <f t="shared" si="447"/>
        <v>0</v>
      </c>
      <c r="AD495" s="31"/>
      <c r="AE495" s="21">
        <f t="shared" si="448"/>
        <v>0</v>
      </c>
      <c r="AF495" s="21">
        <f t="shared" si="449"/>
        <v>0</v>
      </c>
      <c r="AG495" s="21">
        <f t="shared" si="450"/>
        <v>0</v>
      </c>
      <c r="AI495" s="41">
        <v>21</v>
      </c>
      <c r="AJ495" s="41">
        <f t="shared" si="451"/>
        <v>0</v>
      </c>
      <c r="AK495" s="41">
        <f t="shared" si="452"/>
        <v>0</v>
      </c>
      <c r="AL495" s="42" t="s">
        <v>13</v>
      </c>
      <c r="AQ495" s="41">
        <f t="shared" si="453"/>
        <v>0</v>
      </c>
      <c r="AR495" s="41">
        <f t="shared" si="454"/>
        <v>0</v>
      </c>
      <c r="AS495" s="41">
        <f t="shared" si="455"/>
        <v>0</v>
      </c>
      <c r="AT495" s="44" t="s">
        <v>2441</v>
      </c>
      <c r="AU495" s="44" t="s">
        <v>2481</v>
      </c>
      <c r="AV495" s="31" t="s">
        <v>2486</v>
      </c>
      <c r="AX495" s="41">
        <f t="shared" si="456"/>
        <v>0</v>
      </c>
      <c r="AY495" s="41">
        <f t="shared" si="457"/>
        <v>0</v>
      </c>
      <c r="AZ495" s="41">
        <v>0</v>
      </c>
      <c r="BA495" s="41">
        <f t="shared" si="458"/>
        <v>0</v>
      </c>
      <c r="BC495" s="21">
        <f t="shared" si="459"/>
        <v>0</v>
      </c>
      <c r="BD495" s="21">
        <f t="shared" si="460"/>
        <v>0</v>
      </c>
      <c r="BE495" s="21">
        <f t="shared" si="461"/>
        <v>0</v>
      </c>
      <c r="BF495" s="21" t="s">
        <v>2492</v>
      </c>
      <c r="BG495" s="41">
        <v>7321</v>
      </c>
    </row>
    <row r="496" spans="1:59" x14ac:dyDescent="0.3">
      <c r="A496" s="4" t="s">
        <v>477</v>
      </c>
      <c r="B496" s="13"/>
      <c r="C496" s="13" t="s">
        <v>1146</v>
      </c>
      <c r="D496" s="101" t="s">
        <v>1920</v>
      </c>
      <c r="E496" s="102"/>
      <c r="F496" s="13" t="s">
        <v>2385</v>
      </c>
      <c r="G496" s="21">
        <v>44</v>
      </c>
      <c r="H496" s="21">
        <v>0</v>
      </c>
      <c r="I496" s="21">
        <f t="shared" si="436"/>
        <v>0</v>
      </c>
      <c r="J496" s="21">
        <f t="shared" si="437"/>
        <v>0</v>
      </c>
      <c r="K496" s="21">
        <f t="shared" si="438"/>
        <v>0</v>
      </c>
      <c r="L496" s="21">
        <v>0</v>
      </c>
      <c r="M496" s="21">
        <f t="shared" si="439"/>
        <v>0</v>
      </c>
      <c r="N496" s="35"/>
      <c r="O496" s="39"/>
      <c r="U496" s="41">
        <f t="shared" si="440"/>
        <v>0</v>
      </c>
      <c r="W496" s="41">
        <f t="shared" si="441"/>
        <v>0</v>
      </c>
      <c r="X496" s="41">
        <f t="shared" si="442"/>
        <v>0</v>
      </c>
      <c r="Y496" s="41">
        <f t="shared" si="443"/>
        <v>0</v>
      </c>
      <c r="Z496" s="41">
        <f t="shared" si="444"/>
        <v>0</v>
      </c>
      <c r="AA496" s="41">
        <f t="shared" si="445"/>
        <v>0</v>
      </c>
      <c r="AB496" s="41">
        <f t="shared" si="446"/>
        <v>0</v>
      </c>
      <c r="AC496" s="41">
        <f t="shared" si="447"/>
        <v>0</v>
      </c>
      <c r="AD496" s="31"/>
      <c r="AE496" s="21">
        <f t="shared" si="448"/>
        <v>0</v>
      </c>
      <c r="AF496" s="21">
        <f t="shared" si="449"/>
        <v>0</v>
      </c>
      <c r="AG496" s="21">
        <f t="shared" si="450"/>
        <v>0</v>
      </c>
      <c r="AI496" s="41">
        <v>21</v>
      </c>
      <c r="AJ496" s="41">
        <f t="shared" si="451"/>
        <v>0</v>
      </c>
      <c r="AK496" s="41">
        <f t="shared" si="452"/>
        <v>0</v>
      </c>
      <c r="AL496" s="42" t="s">
        <v>13</v>
      </c>
      <c r="AQ496" s="41">
        <f t="shared" si="453"/>
        <v>0</v>
      </c>
      <c r="AR496" s="41">
        <f t="shared" si="454"/>
        <v>0</v>
      </c>
      <c r="AS496" s="41">
        <f t="shared" si="455"/>
        <v>0</v>
      </c>
      <c r="AT496" s="44" t="s">
        <v>2441</v>
      </c>
      <c r="AU496" s="44" t="s">
        <v>2481</v>
      </c>
      <c r="AV496" s="31" t="s">
        <v>2486</v>
      </c>
      <c r="AX496" s="41">
        <f t="shared" si="456"/>
        <v>0</v>
      </c>
      <c r="AY496" s="41">
        <f t="shared" si="457"/>
        <v>0</v>
      </c>
      <c r="AZ496" s="41">
        <v>0</v>
      </c>
      <c r="BA496" s="41">
        <f t="shared" si="458"/>
        <v>0</v>
      </c>
      <c r="BC496" s="21">
        <f t="shared" si="459"/>
        <v>0</v>
      </c>
      <c r="BD496" s="21">
        <f t="shared" si="460"/>
        <v>0</v>
      </c>
      <c r="BE496" s="21">
        <f t="shared" si="461"/>
        <v>0</v>
      </c>
      <c r="BF496" s="21" t="s">
        <v>2492</v>
      </c>
      <c r="BG496" s="41">
        <v>7321</v>
      </c>
    </row>
    <row r="497" spans="1:59" x14ac:dyDescent="0.3">
      <c r="A497" s="4" t="s">
        <v>478</v>
      </c>
      <c r="B497" s="13"/>
      <c r="C497" s="13" t="s">
        <v>1146</v>
      </c>
      <c r="D497" s="101" t="s">
        <v>1920</v>
      </c>
      <c r="E497" s="102"/>
      <c r="F497" s="13" t="s">
        <v>2385</v>
      </c>
      <c r="G497" s="21">
        <v>87</v>
      </c>
      <c r="H497" s="21">
        <v>0</v>
      </c>
      <c r="I497" s="21">
        <f t="shared" si="436"/>
        <v>0</v>
      </c>
      <c r="J497" s="21">
        <f t="shared" si="437"/>
        <v>0</v>
      </c>
      <c r="K497" s="21">
        <f t="shared" si="438"/>
        <v>0</v>
      </c>
      <c r="L497" s="21">
        <v>0</v>
      </c>
      <c r="M497" s="21">
        <f t="shared" si="439"/>
        <v>0</v>
      </c>
      <c r="N497" s="35"/>
      <c r="O497" s="39"/>
      <c r="U497" s="41">
        <f t="shared" si="440"/>
        <v>0</v>
      </c>
      <c r="W497" s="41">
        <f t="shared" si="441"/>
        <v>0</v>
      </c>
      <c r="X497" s="41">
        <f t="shared" si="442"/>
        <v>0</v>
      </c>
      <c r="Y497" s="41">
        <f t="shared" si="443"/>
        <v>0</v>
      </c>
      <c r="Z497" s="41">
        <f t="shared" si="444"/>
        <v>0</v>
      </c>
      <c r="AA497" s="41">
        <f t="shared" si="445"/>
        <v>0</v>
      </c>
      <c r="AB497" s="41">
        <f t="shared" si="446"/>
        <v>0</v>
      </c>
      <c r="AC497" s="41">
        <f t="shared" si="447"/>
        <v>0</v>
      </c>
      <c r="AD497" s="31"/>
      <c r="AE497" s="21">
        <f t="shared" si="448"/>
        <v>0</v>
      </c>
      <c r="AF497" s="21">
        <f t="shared" si="449"/>
        <v>0</v>
      </c>
      <c r="AG497" s="21">
        <f t="shared" si="450"/>
        <v>0</v>
      </c>
      <c r="AI497" s="41">
        <v>21</v>
      </c>
      <c r="AJ497" s="41">
        <f t="shared" si="451"/>
        <v>0</v>
      </c>
      <c r="AK497" s="41">
        <f t="shared" si="452"/>
        <v>0</v>
      </c>
      <c r="AL497" s="42" t="s">
        <v>13</v>
      </c>
      <c r="AQ497" s="41">
        <f t="shared" si="453"/>
        <v>0</v>
      </c>
      <c r="AR497" s="41">
        <f t="shared" si="454"/>
        <v>0</v>
      </c>
      <c r="AS497" s="41">
        <f t="shared" si="455"/>
        <v>0</v>
      </c>
      <c r="AT497" s="44" t="s">
        <v>2441</v>
      </c>
      <c r="AU497" s="44" t="s">
        <v>2481</v>
      </c>
      <c r="AV497" s="31" t="s">
        <v>2486</v>
      </c>
      <c r="AX497" s="41">
        <f t="shared" si="456"/>
        <v>0</v>
      </c>
      <c r="AY497" s="41">
        <f t="shared" si="457"/>
        <v>0</v>
      </c>
      <c r="AZ497" s="41">
        <v>0</v>
      </c>
      <c r="BA497" s="41">
        <f t="shared" si="458"/>
        <v>0</v>
      </c>
      <c r="BC497" s="21">
        <f t="shared" si="459"/>
        <v>0</v>
      </c>
      <c r="BD497" s="21">
        <f t="shared" si="460"/>
        <v>0</v>
      </c>
      <c r="BE497" s="21">
        <f t="shared" si="461"/>
        <v>0</v>
      </c>
      <c r="BF497" s="21" t="s">
        <v>2492</v>
      </c>
      <c r="BG497" s="41">
        <v>7321</v>
      </c>
    </row>
    <row r="498" spans="1:59" x14ac:dyDescent="0.3">
      <c r="A498" s="4" t="s">
        <v>479</v>
      </c>
      <c r="B498" s="13"/>
      <c r="C498" s="13" t="s">
        <v>1146</v>
      </c>
      <c r="D498" s="101" t="s">
        <v>1920</v>
      </c>
      <c r="E498" s="102"/>
      <c r="F498" s="13" t="s">
        <v>2385</v>
      </c>
      <c r="G498" s="21">
        <v>39</v>
      </c>
      <c r="H498" s="21">
        <v>0</v>
      </c>
      <c r="I498" s="21">
        <f t="shared" si="436"/>
        <v>0</v>
      </c>
      <c r="J498" s="21">
        <f t="shared" si="437"/>
        <v>0</v>
      </c>
      <c r="K498" s="21">
        <f t="shared" si="438"/>
        <v>0</v>
      </c>
      <c r="L498" s="21">
        <v>0</v>
      </c>
      <c r="M498" s="21">
        <f t="shared" si="439"/>
        <v>0</v>
      </c>
      <c r="N498" s="35"/>
      <c r="O498" s="39"/>
      <c r="U498" s="41">
        <f t="shared" si="440"/>
        <v>0</v>
      </c>
      <c r="W498" s="41">
        <f t="shared" si="441"/>
        <v>0</v>
      </c>
      <c r="X498" s="41">
        <f t="shared" si="442"/>
        <v>0</v>
      </c>
      <c r="Y498" s="41">
        <f t="shared" si="443"/>
        <v>0</v>
      </c>
      <c r="Z498" s="41">
        <f t="shared" si="444"/>
        <v>0</v>
      </c>
      <c r="AA498" s="41">
        <f t="shared" si="445"/>
        <v>0</v>
      </c>
      <c r="AB498" s="41">
        <f t="shared" si="446"/>
        <v>0</v>
      </c>
      <c r="AC498" s="41">
        <f t="shared" si="447"/>
        <v>0</v>
      </c>
      <c r="AD498" s="31"/>
      <c r="AE498" s="21">
        <f t="shared" si="448"/>
        <v>0</v>
      </c>
      <c r="AF498" s="21">
        <f t="shared" si="449"/>
        <v>0</v>
      </c>
      <c r="AG498" s="21">
        <f t="shared" si="450"/>
        <v>0</v>
      </c>
      <c r="AI498" s="41">
        <v>21</v>
      </c>
      <c r="AJ498" s="41">
        <f t="shared" si="451"/>
        <v>0</v>
      </c>
      <c r="AK498" s="41">
        <f t="shared" si="452"/>
        <v>0</v>
      </c>
      <c r="AL498" s="42" t="s">
        <v>13</v>
      </c>
      <c r="AQ498" s="41">
        <f t="shared" si="453"/>
        <v>0</v>
      </c>
      <c r="AR498" s="41">
        <f t="shared" si="454"/>
        <v>0</v>
      </c>
      <c r="AS498" s="41">
        <f t="shared" si="455"/>
        <v>0</v>
      </c>
      <c r="AT498" s="44" t="s">
        <v>2441</v>
      </c>
      <c r="AU498" s="44" t="s">
        <v>2481</v>
      </c>
      <c r="AV498" s="31" t="s">
        <v>2486</v>
      </c>
      <c r="AX498" s="41">
        <f t="shared" si="456"/>
        <v>0</v>
      </c>
      <c r="AY498" s="41">
        <f t="shared" si="457"/>
        <v>0</v>
      </c>
      <c r="AZ498" s="41">
        <v>0</v>
      </c>
      <c r="BA498" s="41">
        <f t="shared" si="458"/>
        <v>0</v>
      </c>
      <c r="BC498" s="21">
        <f t="shared" si="459"/>
        <v>0</v>
      </c>
      <c r="BD498" s="21">
        <f t="shared" si="460"/>
        <v>0</v>
      </c>
      <c r="BE498" s="21">
        <f t="shared" si="461"/>
        <v>0</v>
      </c>
      <c r="BF498" s="21" t="s">
        <v>2492</v>
      </c>
      <c r="BG498" s="41">
        <v>7321</v>
      </c>
    </row>
    <row r="499" spans="1:59" x14ac:dyDescent="0.3">
      <c r="A499" s="4" t="s">
        <v>480</v>
      </c>
      <c r="B499" s="13"/>
      <c r="C499" s="13" t="s">
        <v>1146</v>
      </c>
      <c r="D499" s="101" t="s">
        <v>1920</v>
      </c>
      <c r="E499" s="102"/>
      <c r="F499" s="13" t="s">
        <v>2385</v>
      </c>
      <c r="G499" s="21">
        <v>18</v>
      </c>
      <c r="H499" s="21">
        <v>0</v>
      </c>
      <c r="I499" s="21">
        <f t="shared" si="436"/>
        <v>0</v>
      </c>
      <c r="J499" s="21">
        <f t="shared" si="437"/>
        <v>0</v>
      </c>
      <c r="K499" s="21">
        <f t="shared" si="438"/>
        <v>0</v>
      </c>
      <c r="L499" s="21">
        <v>0</v>
      </c>
      <c r="M499" s="21">
        <f t="shared" si="439"/>
        <v>0</v>
      </c>
      <c r="N499" s="35"/>
      <c r="O499" s="39"/>
      <c r="U499" s="41">
        <f t="shared" si="440"/>
        <v>0</v>
      </c>
      <c r="W499" s="41">
        <f t="shared" si="441"/>
        <v>0</v>
      </c>
      <c r="X499" s="41">
        <f t="shared" si="442"/>
        <v>0</v>
      </c>
      <c r="Y499" s="41">
        <f t="shared" si="443"/>
        <v>0</v>
      </c>
      <c r="Z499" s="41">
        <f t="shared" si="444"/>
        <v>0</v>
      </c>
      <c r="AA499" s="41">
        <f t="shared" si="445"/>
        <v>0</v>
      </c>
      <c r="AB499" s="41">
        <f t="shared" si="446"/>
        <v>0</v>
      </c>
      <c r="AC499" s="41">
        <f t="shared" si="447"/>
        <v>0</v>
      </c>
      <c r="AD499" s="31"/>
      <c r="AE499" s="21">
        <f t="shared" si="448"/>
        <v>0</v>
      </c>
      <c r="AF499" s="21">
        <f t="shared" si="449"/>
        <v>0</v>
      </c>
      <c r="AG499" s="21">
        <f t="shared" si="450"/>
        <v>0</v>
      </c>
      <c r="AI499" s="41">
        <v>21</v>
      </c>
      <c r="AJ499" s="41">
        <f t="shared" si="451"/>
        <v>0</v>
      </c>
      <c r="AK499" s="41">
        <f t="shared" si="452"/>
        <v>0</v>
      </c>
      <c r="AL499" s="42" t="s">
        <v>13</v>
      </c>
      <c r="AQ499" s="41">
        <f t="shared" si="453"/>
        <v>0</v>
      </c>
      <c r="AR499" s="41">
        <f t="shared" si="454"/>
        <v>0</v>
      </c>
      <c r="AS499" s="41">
        <f t="shared" si="455"/>
        <v>0</v>
      </c>
      <c r="AT499" s="44" t="s">
        <v>2441</v>
      </c>
      <c r="AU499" s="44" t="s">
        <v>2481</v>
      </c>
      <c r="AV499" s="31" t="s">
        <v>2486</v>
      </c>
      <c r="AX499" s="41">
        <f t="shared" si="456"/>
        <v>0</v>
      </c>
      <c r="AY499" s="41">
        <f t="shared" si="457"/>
        <v>0</v>
      </c>
      <c r="AZ499" s="41">
        <v>0</v>
      </c>
      <c r="BA499" s="41">
        <f t="shared" si="458"/>
        <v>0</v>
      </c>
      <c r="BC499" s="21">
        <f t="shared" si="459"/>
        <v>0</v>
      </c>
      <c r="BD499" s="21">
        <f t="shared" si="460"/>
        <v>0</v>
      </c>
      <c r="BE499" s="21">
        <f t="shared" si="461"/>
        <v>0</v>
      </c>
      <c r="BF499" s="21" t="s">
        <v>2492</v>
      </c>
      <c r="BG499" s="41">
        <v>7321</v>
      </c>
    </row>
    <row r="500" spans="1:59" x14ac:dyDescent="0.3">
      <c r="A500" s="4" t="s">
        <v>481</v>
      </c>
      <c r="B500" s="13"/>
      <c r="C500" s="13" t="s">
        <v>1146</v>
      </c>
      <c r="D500" s="101" t="s">
        <v>1920</v>
      </c>
      <c r="E500" s="102"/>
      <c r="F500" s="13" t="s">
        <v>2385</v>
      </c>
      <c r="G500" s="21">
        <v>9</v>
      </c>
      <c r="H500" s="21">
        <v>0</v>
      </c>
      <c r="I500" s="21">
        <f t="shared" si="436"/>
        <v>0</v>
      </c>
      <c r="J500" s="21">
        <f t="shared" si="437"/>
        <v>0</v>
      </c>
      <c r="K500" s="21">
        <f t="shared" si="438"/>
        <v>0</v>
      </c>
      <c r="L500" s="21">
        <v>0</v>
      </c>
      <c r="M500" s="21">
        <f t="shared" si="439"/>
        <v>0</v>
      </c>
      <c r="N500" s="35"/>
      <c r="O500" s="39"/>
      <c r="U500" s="41">
        <f t="shared" si="440"/>
        <v>0</v>
      </c>
      <c r="W500" s="41">
        <f t="shared" si="441"/>
        <v>0</v>
      </c>
      <c r="X500" s="41">
        <f t="shared" si="442"/>
        <v>0</v>
      </c>
      <c r="Y500" s="41">
        <f t="shared" si="443"/>
        <v>0</v>
      </c>
      <c r="Z500" s="41">
        <f t="shared" si="444"/>
        <v>0</v>
      </c>
      <c r="AA500" s="41">
        <f t="shared" si="445"/>
        <v>0</v>
      </c>
      <c r="AB500" s="41">
        <f t="shared" si="446"/>
        <v>0</v>
      </c>
      <c r="AC500" s="41">
        <f t="shared" si="447"/>
        <v>0</v>
      </c>
      <c r="AD500" s="31"/>
      <c r="AE500" s="21">
        <f t="shared" si="448"/>
        <v>0</v>
      </c>
      <c r="AF500" s="21">
        <f t="shared" si="449"/>
        <v>0</v>
      </c>
      <c r="AG500" s="21">
        <f t="shared" si="450"/>
        <v>0</v>
      </c>
      <c r="AI500" s="41">
        <v>21</v>
      </c>
      <c r="AJ500" s="41">
        <f t="shared" si="451"/>
        <v>0</v>
      </c>
      <c r="AK500" s="41">
        <f t="shared" si="452"/>
        <v>0</v>
      </c>
      <c r="AL500" s="42" t="s">
        <v>13</v>
      </c>
      <c r="AQ500" s="41">
        <f t="shared" si="453"/>
        <v>0</v>
      </c>
      <c r="AR500" s="41">
        <f t="shared" si="454"/>
        <v>0</v>
      </c>
      <c r="AS500" s="41">
        <f t="shared" si="455"/>
        <v>0</v>
      </c>
      <c r="AT500" s="44" t="s">
        <v>2441</v>
      </c>
      <c r="AU500" s="44" t="s">
        <v>2481</v>
      </c>
      <c r="AV500" s="31" t="s">
        <v>2486</v>
      </c>
      <c r="AX500" s="41">
        <f t="shared" si="456"/>
        <v>0</v>
      </c>
      <c r="AY500" s="41">
        <f t="shared" si="457"/>
        <v>0</v>
      </c>
      <c r="AZ500" s="41">
        <v>0</v>
      </c>
      <c r="BA500" s="41">
        <f t="shared" si="458"/>
        <v>0</v>
      </c>
      <c r="BC500" s="21">
        <f t="shared" si="459"/>
        <v>0</v>
      </c>
      <c r="BD500" s="21">
        <f t="shared" si="460"/>
        <v>0</v>
      </c>
      <c r="BE500" s="21">
        <f t="shared" si="461"/>
        <v>0</v>
      </c>
      <c r="BF500" s="21" t="s">
        <v>2492</v>
      </c>
      <c r="BG500" s="41">
        <v>7321</v>
      </c>
    </row>
    <row r="501" spans="1:59" x14ac:dyDescent="0.3">
      <c r="A501" s="4" t="s">
        <v>482</v>
      </c>
      <c r="B501" s="13"/>
      <c r="C501" s="13" t="s">
        <v>1146</v>
      </c>
      <c r="D501" s="101" t="s">
        <v>1920</v>
      </c>
      <c r="E501" s="102"/>
      <c r="F501" s="13" t="s">
        <v>2385</v>
      </c>
      <c r="G501" s="21">
        <v>46</v>
      </c>
      <c r="H501" s="21">
        <v>0</v>
      </c>
      <c r="I501" s="21">
        <f t="shared" si="436"/>
        <v>0</v>
      </c>
      <c r="J501" s="21">
        <f t="shared" si="437"/>
        <v>0</v>
      </c>
      <c r="K501" s="21">
        <f t="shared" si="438"/>
        <v>0</v>
      </c>
      <c r="L501" s="21">
        <v>0</v>
      </c>
      <c r="M501" s="21">
        <f t="shared" si="439"/>
        <v>0</v>
      </c>
      <c r="N501" s="35"/>
      <c r="O501" s="39"/>
      <c r="U501" s="41">
        <f t="shared" si="440"/>
        <v>0</v>
      </c>
      <c r="W501" s="41">
        <f t="shared" si="441"/>
        <v>0</v>
      </c>
      <c r="X501" s="41">
        <f t="shared" si="442"/>
        <v>0</v>
      </c>
      <c r="Y501" s="41">
        <f t="shared" si="443"/>
        <v>0</v>
      </c>
      <c r="Z501" s="41">
        <f t="shared" si="444"/>
        <v>0</v>
      </c>
      <c r="AA501" s="41">
        <f t="shared" si="445"/>
        <v>0</v>
      </c>
      <c r="AB501" s="41">
        <f t="shared" si="446"/>
        <v>0</v>
      </c>
      <c r="AC501" s="41">
        <f t="shared" si="447"/>
        <v>0</v>
      </c>
      <c r="AD501" s="31"/>
      <c r="AE501" s="21">
        <f t="shared" si="448"/>
        <v>0</v>
      </c>
      <c r="AF501" s="21">
        <f t="shared" si="449"/>
        <v>0</v>
      </c>
      <c r="AG501" s="21">
        <f t="shared" si="450"/>
        <v>0</v>
      </c>
      <c r="AI501" s="41">
        <v>21</v>
      </c>
      <c r="AJ501" s="41">
        <f t="shared" si="451"/>
        <v>0</v>
      </c>
      <c r="AK501" s="41">
        <f t="shared" si="452"/>
        <v>0</v>
      </c>
      <c r="AL501" s="42" t="s">
        <v>13</v>
      </c>
      <c r="AQ501" s="41">
        <f t="shared" si="453"/>
        <v>0</v>
      </c>
      <c r="AR501" s="41">
        <f t="shared" si="454"/>
        <v>0</v>
      </c>
      <c r="AS501" s="41">
        <f t="shared" si="455"/>
        <v>0</v>
      </c>
      <c r="AT501" s="44" t="s">
        <v>2441</v>
      </c>
      <c r="AU501" s="44" t="s">
        <v>2481</v>
      </c>
      <c r="AV501" s="31" t="s">
        <v>2486</v>
      </c>
      <c r="AX501" s="41">
        <f t="shared" si="456"/>
        <v>0</v>
      </c>
      <c r="AY501" s="41">
        <f t="shared" si="457"/>
        <v>0</v>
      </c>
      <c r="AZ501" s="41">
        <v>0</v>
      </c>
      <c r="BA501" s="41">
        <f t="shared" si="458"/>
        <v>0</v>
      </c>
      <c r="BC501" s="21">
        <f t="shared" si="459"/>
        <v>0</v>
      </c>
      <c r="BD501" s="21">
        <f t="shared" si="460"/>
        <v>0</v>
      </c>
      <c r="BE501" s="21">
        <f t="shared" si="461"/>
        <v>0</v>
      </c>
      <c r="BF501" s="21" t="s">
        <v>2492</v>
      </c>
      <c r="BG501" s="41">
        <v>7321</v>
      </c>
    </row>
    <row r="502" spans="1:59" x14ac:dyDescent="0.3">
      <c r="A502" s="4" t="s">
        <v>483</v>
      </c>
      <c r="B502" s="13"/>
      <c r="C502" s="13" t="s">
        <v>1146</v>
      </c>
      <c r="D502" s="101" t="s">
        <v>1921</v>
      </c>
      <c r="E502" s="102"/>
      <c r="F502" s="13" t="s">
        <v>2386</v>
      </c>
      <c r="G502" s="21">
        <v>1</v>
      </c>
      <c r="H502" s="21">
        <v>0</v>
      </c>
      <c r="I502" s="21">
        <f t="shared" si="436"/>
        <v>0</v>
      </c>
      <c r="J502" s="21">
        <f t="shared" si="437"/>
        <v>0</v>
      </c>
      <c r="K502" s="21">
        <f t="shared" si="438"/>
        <v>0</v>
      </c>
      <c r="L502" s="21">
        <v>0</v>
      </c>
      <c r="M502" s="21">
        <f t="shared" si="439"/>
        <v>0</v>
      </c>
      <c r="N502" s="35"/>
      <c r="O502" s="39"/>
      <c r="U502" s="41">
        <f t="shared" si="440"/>
        <v>0</v>
      </c>
      <c r="W502" s="41">
        <f t="shared" si="441"/>
        <v>0</v>
      </c>
      <c r="X502" s="41">
        <f t="shared" si="442"/>
        <v>0</v>
      </c>
      <c r="Y502" s="41">
        <f t="shared" si="443"/>
        <v>0</v>
      </c>
      <c r="Z502" s="41">
        <f t="shared" si="444"/>
        <v>0</v>
      </c>
      <c r="AA502" s="41">
        <f t="shared" si="445"/>
        <v>0</v>
      </c>
      <c r="AB502" s="41">
        <f t="shared" si="446"/>
        <v>0</v>
      </c>
      <c r="AC502" s="41">
        <f t="shared" si="447"/>
        <v>0</v>
      </c>
      <c r="AD502" s="31"/>
      <c r="AE502" s="21">
        <f t="shared" si="448"/>
        <v>0</v>
      </c>
      <c r="AF502" s="21">
        <f t="shared" si="449"/>
        <v>0</v>
      </c>
      <c r="AG502" s="21">
        <f t="shared" si="450"/>
        <v>0</v>
      </c>
      <c r="AI502" s="41">
        <v>21</v>
      </c>
      <c r="AJ502" s="41">
        <f t="shared" si="451"/>
        <v>0</v>
      </c>
      <c r="AK502" s="41">
        <f t="shared" si="452"/>
        <v>0</v>
      </c>
      <c r="AL502" s="42" t="s">
        <v>13</v>
      </c>
      <c r="AQ502" s="41">
        <f t="shared" si="453"/>
        <v>0</v>
      </c>
      <c r="AR502" s="41">
        <f t="shared" si="454"/>
        <v>0</v>
      </c>
      <c r="AS502" s="41">
        <f t="shared" si="455"/>
        <v>0</v>
      </c>
      <c r="AT502" s="44" t="s">
        <v>2441</v>
      </c>
      <c r="AU502" s="44" t="s">
        <v>2481</v>
      </c>
      <c r="AV502" s="31" t="s">
        <v>2486</v>
      </c>
      <c r="AX502" s="41">
        <f t="shared" si="456"/>
        <v>0</v>
      </c>
      <c r="AY502" s="41">
        <f t="shared" si="457"/>
        <v>0</v>
      </c>
      <c r="AZ502" s="41">
        <v>0</v>
      </c>
      <c r="BA502" s="41">
        <f t="shared" si="458"/>
        <v>0</v>
      </c>
      <c r="BC502" s="21">
        <f t="shared" si="459"/>
        <v>0</v>
      </c>
      <c r="BD502" s="21">
        <f t="shared" si="460"/>
        <v>0</v>
      </c>
      <c r="BE502" s="21">
        <f t="shared" si="461"/>
        <v>0</v>
      </c>
      <c r="BF502" s="21" t="s">
        <v>2492</v>
      </c>
      <c r="BG502" s="41">
        <v>7321</v>
      </c>
    </row>
    <row r="503" spans="1:59" x14ac:dyDescent="0.3">
      <c r="A503" s="4" t="s">
        <v>484</v>
      </c>
      <c r="B503" s="13"/>
      <c r="C503" s="13" t="s">
        <v>1146</v>
      </c>
      <c r="D503" s="101" t="s">
        <v>1890</v>
      </c>
      <c r="E503" s="102"/>
      <c r="F503" s="13" t="s">
        <v>2384</v>
      </c>
      <c r="G503" s="21">
        <v>22</v>
      </c>
      <c r="H503" s="21">
        <v>0</v>
      </c>
      <c r="I503" s="21">
        <f t="shared" si="436"/>
        <v>0</v>
      </c>
      <c r="J503" s="21">
        <f t="shared" si="437"/>
        <v>0</v>
      </c>
      <c r="K503" s="21">
        <f t="shared" si="438"/>
        <v>0</v>
      </c>
      <c r="L503" s="21">
        <v>0</v>
      </c>
      <c r="M503" s="21">
        <f t="shared" si="439"/>
        <v>0</v>
      </c>
      <c r="N503" s="35"/>
      <c r="O503" s="39"/>
      <c r="U503" s="41">
        <f t="shared" si="440"/>
        <v>0</v>
      </c>
      <c r="W503" s="41">
        <f t="shared" si="441"/>
        <v>0</v>
      </c>
      <c r="X503" s="41">
        <f t="shared" si="442"/>
        <v>0</v>
      </c>
      <c r="Y503" s="41">
        <f t="shared" si="443"/>
        <v>0</v>
      </c>
      <c r="Z503" s="41">
        <f t="shared" si="444"/>
        <v>0</v>
      </c>
      <c r="AA503" s="41">
        <f t="shared" si="445"/>
        <v>0</v>
      </c>
      <c r="AB503" s="41">
        <f t="shared" si="446"/>
        <v>0</v>
      </c>
      <c r="AC503" s="41">
        <f t="shared" si="447"/>
        <v>0</v>
      </c>
      <c r="AD503" s="31"/>
      <c r="AE503" s="21">
        <f t="shared" si="448"/>
        <v>0</v>
      </c>
      <c r="AF503" s="21">
        <f t="shared" si="449"/>
        <v>0</v>
      </c>
      <c r="AG503" s="21">
        <f t="shared" si="450"/>
        <v>0</v>
      </c>
      <c r="AI503" s="41">
        <v>21</v>
      </c>
      <c r="AJ503" s="41">
        <f t="shared" si="451"/>
        <v>0</v>
      </c>
      <c r="AK503" s="41">
        <f t="shared" si="452"/>
        <v>0</v>
      </c>
      <c r="AL503" s="42" t="s">
        <v>13</v>
      </c>
      <c r="AQ503" s="41">
        <f t="shared" si="453"/>
        <v>0</v>
      </c>
      <c r="AR503" s="41">
        <f t="shared" si="454"/>
        <v>0</v>
      </c>
      <c r="AS503" s="41">
        <f t="shared" si="455"/>
        <v>0</v>
      </c>
      <c r="AT503" s="44" t="s">
        <v>2441</v>
      </c>
      <c r="AU503" s="44" t="s">
        <v>2481</v>
      </c>
      <c r="AV503" s="31" t="s">
        <v>2486</v>
      </c>
      <c r="AX503" s="41">
        <f t="shared" si="456"/>
        <v>0</v>
      </c>
      <c r="AY503" s="41">
        <f t="shared" si="457"/>
        <v>0</v>
      </c>
      <c r="AZ503" s="41">
        <v>0</v>
      </c>
      <c r="BA503" s="41">
        <f t="shared" si="458"/>
        <v>0</v>
      </c>
      <c r="BC503" s="21">
        <f t="shared" si="459"/>
        <v>0</v>
      </c>
      <c r="BD503" s="21">
        <f t="shared" si="460"/>
        <v>0</v>
      </c>
      <c r="BE503" s="21">
        <f t="shared" si="461"/>
        <v>0</v>
      </c>
      <c r="BF503" s="21" t="s">
        <v>2492</v>
      </c>
      <c r="BG503" s="41">
        <v>7321</v>
      </c>
    </row>
    <row r="504" spans="1:59" x14ac:dyDescent="0.3">
      <c r="A504" s="4" t="s">
        <v>485</v>
      </c>
      <c r="B504" s="13"/>
      <c r="C504" s="13" t="s">
        <v>1146</v>
      </c>
      <c r="D504" s="101" t="s">
        <v>1890</v>
      </c>
      <c r="E504" s="102"/>
      <c r="F504" s="13" t="s">
        <v>2384</v>
      </c>
      <c r="G504" s="21">
        <v>28</v>
      </c>
      <c r="H504" s="21">
        <v>0</v>
      </c>
      <c r="I504" s="21">
        <f t="shared" si="436"/>
        <v>0</v>
      </c>
      <c r="J504" s="21">
        <f t="shared" si="437"/>
        <v>0</v>
      </c>
      <c r="K504" s="21">
        <f t="shared" si="438"/>
        <v>0</v>
      </c>
      <c r="L504" s="21">
        <v>0</v>
      </c>
      <c r="M504" s="21">
        <f t="shared" si="439"/>
        <v>0</v>
      </c>
      <c r="N504" s="35"/>
      <c r="O504" s="39"/>
      <c r="U504" s="41">
        <f t="shared" si="440"/>
        <v>0</v>
      </c>
      <c r="W504" s="41">
        <f t="shared" si="441"/>
        <v>0</v>
      </c>
      <c r="X504" s="41">
        <f t="shared" si="442"/>
        <v>0</v>
      </c>
      <c r="Y504" s="41">
        <f t="shared" si="443"/>
        <v>0</v>
      </c>
      <c r="Z504" s="41">
        <f t="shared" si="444"/>
        <v>0</v>
      </c>
      <c r="AA504" s="41">
        <f t="shared" si="445"/>
        <v>0</v>
      </c>
      <c r="AB504" s="41">
        <f t="shared" si="446"/>
        <v>0</v>
      </c>
      <c r="AC504" s="41">
        <f t="shared" si="447"/>
        <v>0</v>
      </c>
      <c r="AD504" s="31"/>
      <c r="AE504" s="21">
        <f t="shared" si="448"/>
        <v>0</v>
      </c>
      <c r="AF504" s="21">
        <f t="shared" si="449"/>
        <v>0</v>
      </c>
      <c r="AG504" s="21">
        <f t="shared" si="450"/>
        <v>0</v>
      </c>
      <c r="AI504" s="41">
        <v>21</v>
      </c>
      <c r="AJ504" s="41">
        <f t="shared" si="451"/>
        <v>0</v>
      </c>
      <c r="AK504" s="41">
        <f t="shared" si="452"/>
        <v>0</v>
      </c>
      <c r="AL504" s="42" t="s">
        <v>13</v>
      </c>
      <c r="AQ504" s="41">
        <f t="shared" si="453"/>
        <v>0</v>
      </c>
      <c r="AR504" s="41">
        <f t="shared" si="454"/>
        <v>0</v>
      </c>
      <c r="AS504" s="41">
        <f t="shared" si="455"/>
        <v>0</v>
      </c>
      <c r="AT504" s="44" t="s">
        <v>2441</v>
      </c>
      <c r="AU504" s="44" t="s">
        <v>2481</v>
      </c>
      <c r="AV504" s="31" t="s">
        <v>2486</v>
      </c>
      <c r="AX504" s="41">
        <f t="shared" si="456"/>
        <v>0</v>
      </c>
      <c r="AY504" s="41">
        <f t="shared" si="457"/>
        <v>0</v>
      </c>
      <c r="AZ504" s="41">
        <v>0</v>
      </c>
      <c r="BA504" s="41">
        <f t="shared" si="458"/>
        <v>0</v>
      </c>
      <c r="BC504" s="21">
        <f t="shared" si="459"/>
        <v>0</v>
      </c>
      <c r="BD504" s="21">
        <f t="shared" si="460"/>
        <v>0</v>
      </c>
      <c r="BE504" s="21">
        <f t="shared" si="461"/>
        <v>0</v>
      </c>
      <c r="BF504" s="21" t="s">
        <v>2492</v>
      </c>
      <c r="BG504" s="41">
        <v>7321</v>
      </c>
    </row>
    <row r="505" spans="1:59" x14ac:dyDescent="0.3">
      <c r="A505" s="4" t="s">
        <v>486</v>
      </c>
      <c r="B505" s="13"/>
      <c r="C505" s="13" t="s">
        <v>1146</v>
      </c>
      <c r="D505" s="101" t="s">
        <v>1890</v>
      </c>
      <c r="E505" s="102"/>
      <c r="F505" s="13" t="s">
        <v>2384</v>
      </c>
      <c r="G505" s="21">
        <v>2</v>
      </c>
      <c r="H505" s="21">
        <v>0</v>
      </c>
      <c r="I505" s="21">
        <f t="shared" si="436"/>
        <v>0</v>
      </c>
      <c r="J505" s="21">
        <f t="shared" si="437"/>
        <v>0</v>
      </c>
      <c r="K505" s="21">
        <f t="shared" si="438"/>
        <v>0</v>
      </c>
      <c r="L505" s="21">
        <v>0</v>
      </c>
      <c r="M505" s="21">
        <f t="shared" si="439"/>
        <v>0</v>
      </c>
      <c r="N505" s="35"/>
      <c r="O505" s="39"/>
      <c r="U505" s="41">
        <f t="shared" si="440"/>
        <v>0</v>
      </c>
      <c r="W505" s="41">
        <f t="shared" si="441"/>
        <v>0</v>
      </c>
      <c r="X505" s="41">
        <f t="shared" si="442"/>
        <v>0</v>
      </c>
      <c r="Y505" s="41">
        <f t="shared" si="443"/>
        <v>0</v>
      </c>
      <c r="Z505" s="41">
        <f t="shared" si="444"/>
        <v>0</v>
      </c>
      <c r="AA505" s="41">
        <f t="shared" si="445"/>
        <v>0</v>
      </c>
      <c r="AB505" s="41">
        <f t="shared" si="446"/>
        <v>0</v>
      </c>
      <c r="AC505" s="41">
        <f t="shared" si="447"/>
        <v>0</v>
      </c>
      <c r="AD505" s="31"/>
      <c r="AE505" s="21">
        <f t="shared" si="448"/>
        <v>0</v>
      </c>
      <c r="AF505" s="21">
        <f t="shared" si="449"/>
        <v>0</v>
      </c>
      <c r="AG505" s="21">
        <f t="shared" si="450"/>
        <v>0</v>
      </c>
      <c r="AI505" s="41">
        <v>21</v>
      </c>
      <c r="AJ505" s="41">
        <f t="shared" si="451"/>
        <v>0</v>
      </c>
      <c r="AK505" s="41">
        <f t="shared" si="452"/>
        <v>0</v>
      </c>
      <c r="AL505" s="42" t="s">
        <v>13</v>
      </c>
      <c r="AQ505" s="41">
        <f t="shared" si="453"/>
        <v>0</v>
      </c>
      <c r="AR505" s="41">
        <f t="shared" si="454"/>
        <v>0</v>
      </c>
      <c r="AS505" s="41">
        <f t="shared" si="455"/>
        <v>0</v>
      </c>
      <c r="AT505" s="44" t="s">
        <v>2441</v>
      </c>
      <c r="AU505" s="44" t="s">
        <v>2481</v>
      </c>
      <c r="AV505" s="31" t="s">
        <v>2486</v>
      </c>
      <c r="AX505" s="41">
        <f t="shared" si="456"/>
        <v>0</v>
      </c>
      <c r="AY505" s="41">
        <f t="shared" si="457"/>
        <v>0</v>
      </c>
      <c r="AZ505" s="41">
        <v>0</v>
      </c>
      <c r="BA505" s="41">
        <f t="shared" si="458"/>
        <v>0</v>
      </c>
      <c r="BC505" s="21">
        <f t="shared" si="459"/>
        <v>0</v>
      </c>
      <c r="BD505" s="21">
        <f t="shared" si="460"/>
        <v>0</v>
      </c>
      <c r="BE505" s="21">
        <f t="shared" si="461"/>
        <v>0</v>
      </c>
      <c r="BF505" s="21" t="s">
        <v>2492</v>
      </c>
      <c r="BG505" s="41">
        <v>7321</v>
      </c>
    </row>
    <row r="506" spans="1:59" x14ac:dyDescent="0.3">
      <c r="A506" s="4" t="s">
        <v>487</v>
      </c>
      <c r="B506" s="13"/>
      <c r="C506" s="13" t="s">
        <v>1146</v>
      </c>
      <c r="D506" s="101" t="s">
        <v>1890</v>
      </c>
      <c r="E506" s="102"/>
      <c r="F506" s="13" t="s">
        <v>2384</v>
      </c>
      <c r="G506" s="21">
        <v>2</v>
      </c>
      <c r="H506" s="21">
        <v>0</v>
      </c>
      <c r="I506" s="21">
        <f t="shared" si="436"/>
        <v>0</v>
      </c>
      <c r="J506" s="21">
        <f t="shared" si="437"/>
        <v>0</v>
      </c>
      <c r="K506" s="21">
        <f t="shared" si="438"/>
        <v>0</v>
      </c>
      <c r="L506" s="21">
        <v>0</v>
      </c>
      <c r="M506" s="21">
        <f t="shared" si="439"/>
        <v>0</v>
      </c>
      <c r="N506" s="35"/>
      <c r="O506" s="39"/>
      <c r="U506" s="41">
        <f t="shared" si="440"/>
        <v>0</v>
      </c>
      <c r="W506" s="41">
        <f t="shared" si="441"/>
        <v>0</v>
      </c>
      <c r="X506" s="41">
        <f t="shared" si="442"/>
        <v>0</v>
      </c>
      <c r="Y506" s="41">
        <f t="shared" si="443"/>
        <v>0</v>
      </c>
      <c r="Z506" s="41">
        <f t="shared" si="444"/>
        <v>0</v>
      </c>
      <c r="AA506" s="41">
        <f t="shared" si="445"/>
        <v>0</v>
      </c>
      <c r="AB506" s="41">
        <f t="shared" si="446"/>
        <v>0</v>
      </c>
      <c r="AC506" s="41">
        <f t="shared" si="447"/>
        <v>0</v>
      </c>
      <c r="AD506" s="31"/>
      <c r="AE506" s="21">
        <f t="shared" si="448"/>
        <v>0</v>
      </c>
      <c r="AF506" s="21">
        <f t="shared" si="449"/>
        <v>0</v>
      </c>
      <c r="AG506" s="21">
        <f t="shared" si="450"/>
        <v>0</v>
      </c>
      <c r="AI506" s="41">
        <v>21</v>
      </c>
      <c r="AJ506" s="41">
        <f t="shared" si="451"/>
        <v>0</v>
      </c>
      <c r="AK506" s="41">
        <f t="shared" si="452"/>
        <v>0</v>
      </c>
      <c r="AL506" s="42" t="s">
        <v>13</v>
      </c>
      <c r="AQ506" s="41">
        <f t="shared" si="453"/>
        <v>0</v>
      </c>
      <c r="AR506" s="41">
        <f t="shared" si="454"/>
        <v>0</v>
      </c>
      <c r="AS506" s="41">
        <f t="shared" si="455"/>
        <v>0</v>
      </c>
      <c r="AT506" s="44" t="s">
        <v>2441</v>
      </c>
      <c r="AU506" s="44" t="s">
        <v>2481</v>
      </c>
      <c r="AV506" s="31" t="s">
        <v>2486</v>
      </c>
      <c r="AX506" s="41">
        <f t="shared" si="456"/>
        <v>0</v>
      </c>
      <c r="AY506" s="41">
        <f t="shared" si="457"/>
        <v>0</v>
      </c>
      <c r="AZ506" s="41">
        <v>0</v>
      </c>
      <c r="BA506" s="41">
        <f t="shared" si="458"/>
        <v>0</v>
      </c>
      <c r="BC506" s="21">
        <f t="shared" si="459"/>
        <v>0</v>
      </c>
      <c r="BD506" s="21">
        <f t="shared" si="460"/>
        <v>0</v>
      </c>
      <c r="BE506" s="21">
        <f t="shared" si="461"/>
        <v>0</v>
      </c>
      <c r="BF506" s="21" t="s">
        <v>2492</v>
      </c>
      <c r="BG506" s="41">
        <v>7321</v>
      </c>
    </row>
    <row r="507" spans="1:59" x14ac:dyDescent="0.3">
      <c r="A507" s="4" t="s">
        <v>488</v>
      </c>
      <c r="B507" s="13"/>
      <c r="C507" s="13" t="s">
        <v>1146</v>
      </c>
      <c r="D507" s="101" t="s">
        <v>1922</v>
      </c>
      <c r="E507" s="102"/>
      <c r="F507" s="13" t="s">
        <v>2386</v>
      </c>
      <c r="G507" s="21">
        <v>8</v>
      </c>
      <c r="H507" s="21">
        <v>0</v>
      </c>
      <c r="I507" s="21">
        <f t="shared" si="436"/>
        <v>0</v>
      </c>
      <c r="J507" s="21">
        <f t="shared" si="437"/>
        <v>0</v>
      </c>
      <c r="K507" s="21">
        <f t="shared" si="438"/>
        <v>0</v>
      </c>
      <c r="L507" s="21">
        <v>0</v>
      </c>
      <c r="M507" s="21">
        <f t="shared" si="439"/>
        <v>0</v>
      </c>
      <c r="N507" s="35"/>
      <c r="O507" s="39"/>
      <c r="U507" s="41">
        <f t="shared" si="440"/>
        <v>0</v>
      </c>
      <c r="W507" s="41">
        <f t="shared" si="441"/>
        <v>0</v>
      </c>
      <c r="X507" s="41">
        <f t="shared" si="442"/>
        <v>0</v>
      </c>
      <c r="Y507" s="41">
        <f t="shared" si="443"/>
        <v>0</v>
      </c>
      <c r="Z507" s="41">
        <f t="shared" si="444"/>
        <v>0</v>
      </c>
      <c r="AA507" s="41">
        <f t="shared" si="445"/>
        <v>0</v>
      </c>
      <c r="AB507" s="41">
        <f t="shared" si="446"/>
        <v>0</v>
      </c>
      <c r="AC507" s="41">
        <f t="shared" si="447"/>
        <v>0</v>
      </c>
      <c r="AD507" s="31"/>
      <c r="AE507" s="21">
        <f t="shared" si="448"/>
        <v>0</v>
      </c>
      <c r="AF507" s="21">
        <f t="shared" si="449"/>
        <v>0</v>
      </c>
      <c r="AG507" s="21">
        <f t="shared" si="450"/>
        <v>0</v>
      </c>
      <c r="AI507" s="41">
        <v>21</v>
      </c>
      <c r="AJ507" s="41">
        <f t="shared" si="451"/>
        <v>0</v>
      </c>
      <c r="AK507" s="41">
        <f t="shared" si="452"/>
        <v>0</v>
      </c>
      <c r="AL507" s="42" t="s">
        <v>13</v>
      </c>
      <c r="AQ507" s="41">
        <f t="shared" si="453"/>
        <v>0</v>
      </c>
      <c r="AR507" s="41">
        <f t="shared" si="454"/>
        <v>0</v>
      </c>
      <c r="AS507" s="41">
        <f t="shared" si="455"/>
        <v>0</v>
      </c>
      <c r="AT507" s="44" t="s">
        <v>2441</v>
      </c>
      <c r="AU507" s="44" t="s">
        <v>2481</v>
      </c>
      <c r="AV507" s="31" t="s">
        <v>2486</v>
      </c>
      <c r="AX507" s="41">
        <f t="shared" si="456"/>
        <v>0</v>
      </c>
      <c r="AY507" s="41">
        <f t="shared" si="457"/>
        <v>0</v>
      </c>
      <c r="AZ507" s="41">
        <v>0</v>
      </c>
      <c r="BA507" s="41">
        <f t="shared" si="458"/>
        <v>0</v>
      </c>
      <c r="BC507" s="21">
        <f t="shared" si="459"/>
        <v>0</v>
      </c>
      <c r="BD507" s="21">
        <f t="shared" si="460"/>
        <v>0</v>
      </c>
      <c r="BE507" s="21">
        <f t="shared" si="461"/>
        <v>0</v>
      </c>
      <c r="BF507" s="21" t="s">
        <v>2492</v>
      </c>
      <c r="BG507" s="41">
        <v>7321</v>
      </c>
    </row>
    <row r="508" spans="1:59" x14ac:dyDescent="0.3">
      <c r="A508" s="4" t="s">
        <v>489</v>
      </c>
      <c r="B508" s="13"/>
      <c r="C508" s="13" t="s">
        <v>1146</v>
      </c>
      <c r="D508" s="101" t="s">
        <v>1917</v>
      </c>
      <c r="E508" s="102"/>
      <c r="F508" s="13" t="s">
        <v>2386</v>
      </c>
      <c r="G508" s="21">
        <v>18</v>
      </c>
      <c r="H508" s="21">
        <v>0</v>
      </c>
      <c r="I508" s="21">
        <f t="shared" si="436"/>
        <v>0</v>
      </c>
      <c r="J508" s="21">
        <f t="shared" si="437"/>
        <v>0</v>
      </c>
      <c r="K508" s="21">
        <f t="shared" si="438"/>
        <v>0</v>
      </c>
      <c r="L508" s="21">
        <v>0</v>
      </c>
      <c r="M508" s="21">
        <f t="shared" si="439"/>
        <v>0</v>
      </c>
      <c r="N508" s="35"/>
      <c r="O508" s="39"/>
      <c r="U508" s="41">
        <f t="shared" si="440"/>
        <v>0</v>
      </c>
      <c r="W508" s="41">
        <f t="shared" si="441"/>
        <v>0</v>
      </c>
      <c r="X508" s="41">
        <f t="shared" si="442"/>
        <v>0</v>
      </c>
      <c r="Y508" s="41">
        <f t="shared" si="443"/>
        <v>0</v>
      </c>
      <c r="Z508" s="41">
        <f t="shared" si="444"/>
        <v>0</v>
      </c>
      <c r="AA508" s="41">
        <f t="shared" si="445"/>
        <v>0</v>
      </c>
      <c r="AB508" s="41">
        <f t="shared" si="446"/>
        <v>0</v>
      </c>
      <c r="AC508" s="41">
        <f t="shared" si="447"/>
        <v>0</v>
      </c>
      <c r="AD508" s="31"/>
      <c r="AE508" s="21">
        <f t="shared" si="448"/>
        <v>0</v>
      </c>
      <c r="AF508" s="21">
        <f t="shared" si="449"/>
        <v>0</v>
      </c>
      <c r="AG508" s="21">
        <f t="shared" si="450"/>
        <v>0</v>
      </c>
      <c r="AI508" s="41">
        <v>21</v>
      </c>
      <c r="AJ508" s="41">
        <f t="shared" si="451"/>
        <v>0</v>
      </c>
      <c r="AK508" s="41">
        <f t="shared" si="452"/>
        <v>0</v>
      </c>
      <c r="AL508" s="42" t="s">
        <v>13</v>
      </c>
      <c r="AQ508" s="41">
        <f t="shared" si="453"/>
        <v>0</v>
      </c>
      <c r="AR508" s="41">
        <f t="shared" si="454"/>
        <v>0</v>
      </c>
      <c r="AS508" s="41">
        <f t="shared" si="455"/>
        <v>0</v>
      </c>
      <c r="AT508" s="44" t="s">
        <v>2441</v>
      </c>
      <c r="AU508" s="44" t="s">
        <v>2481</v>
      </c>
      <c r="AV508" s="31" t="s">
        <v>2486</v>
      </c>
      <c r="AX508" s="41">
        <f t="shared" si="456"/>
        <v>0</v>
      </c>
      <c r="AY508" s="41">
        <f t="shared" si="457"/>
        <v>0</v>
      </c>
      <c r="AZ508" s="41">
        <v>0</v>
      </c>
      <c r="BA508" s="41">
        <f t="shared" si="458"/>
        <v>0</v>
      </c>
      <c r="BC508" s="21">
        <f t="shared" si="459"/>
        <v>0</v>
      </c>
      <c r="BD508" s="21">
        <f t="shared" si="460"/>
        <v>0</v>
      </c>
      <c r="BE508" s="21">
        <f t="shared" si="461"/>
        <v>0</v>
      </c>
      <c r="BF508" s="21" t="s">
        <v>2492</v>
      </c>
      <c r="BG508" s="41">
        <v>7321</v>
      </c>
    </row>
    <row r="509" spans="1:59" x14ac:dyDescent="0.3">
      <c r="A509" s="4" t="s">
        <v>490</v>
      </c>
      <c r="B509" s="13"/>
      <c r="C509" s="13" t="s">
        <v>1146</v>
      </c>
      <c r="D509" s="101" t="s">
        <v>1918</v>
      </c>
      <c r="E509" s="102"/>
      <c r="F509" s="13" t="s">
        <v>2386</v>
      </c>
      <c r="G509" s="21">
        <v>1</v>
      </c>
      <c r="H509" s="21">
        <v>0</v>
      </c>
      <c r="I509" s="21">
        <f t="shared" si="436"/>
        <v>0</v>
      </c>
      <c r="J509" s="21">
        <f t="shared" si="437"/>
        <v>0</v>
      </c>
      <c r="K509" s="21">
        <f t="shared" si="438"/>
        <v>0</v>
      </c>
      <c r="L509" s="21">
        <v>0</v>
      </c>
      <c r="M509" s="21">
        <f t="shared" si="439"/>
        <v>0</v>
      </c>
      <c r="N509" s="35"/>
      <c r="O509" s="39"/>
      <c r="U509" s="41">
        <f t="shared" si="440"/>
        <v>0</v>
      </c>
      <c r="W509" s="41">
        <f t="shared" si="441"/>
        <v>0</v>
      </c>
      <c r="X509" s="41">
        <f t="shared" si="442"/>
        <v>0</v>
      </c>
      <c r="Y509" s="41">
        <f t="shared" si="443"/>
        <v>0</v>
      </c>
      <c r="Z509" s="41">
        <f t="shared" si="444"/>
        <v>0</v>
      </c>
      <c r="AA509" s="41">
        <f t="shared" si="445"/>
        <v>0</v>
      </c>
      <c r="AB509" s="41">
        <f t="shared" si="446"/>
        <v>0</v>
      </c>
      <c r="AC509" s="41">
        <f t="shared" si="447"/>
        <v>0</v>
      </c>
      <c r="AD509" s="31"/>
      <c r="AE509" s="21">
        <f t="shared" si="448"/>
        <v>0</v>
      </c>
      <c r="AF509" s="21">
        <f t="shared" si="449"/>
        <v>0</v>
      </c>
      <c r="AG509" s="21">
        <f t="shared" si="450"/>
        <v>0</v>
      </c>
      <c r="AI509" s="41">
        <v>21</v>
      </c>
      <c r="AJ509" s="41">
        <f t="shared" si="451"/>
        <v>0</v>
      </c>
      <c r="AK509" s="41">
        <f t="shared" si="452"/>
        <v>0</v>
      </c>
      <c r="AL509" s="42" t="s">
        <v>13</v>
      </c>
      <c r="AQ509" s="41">
        <f t="shared" si="453"/>
        <v>0</v>
      </c>
      <c r="AR509" s="41">
        <f t="shared" si="454"/>
        <v>0</v>
      </c>
      <c r="AS509" s="41">
        <f t="shared" si="455"/>
        <v>0</v>
      </c>
      <c r="AT509" s="44" t="s">
        <v>2441</v>
      </c>
      <c r="AU509" s="44" t="s">
        <v>2481</v>
      </c>
      <c r="AV509" s="31" t="s">
        <v>2486</v>
      </c>
      <c r="AX509" s="41">
        <f t="shared" si="456"/>
        <v>0</v>
      </c>
      <c r="AY509" s="41">
        <f t="shared" si="457"/>
        <v>0</v>
      </c>
      <c r="AZ509" s="41">
        <v>0</v>
      </c>
      <c r="BA509" s="41">
        <f t="shared" si="458"/>
        <v>0</v>
      </c>
      <c r="BC509" s="21">
        <f t="shared" si="459"/>
        <v>0</v>
      </c>
      <c r="BD509" s="21">
        <f t="shared" si="460"/>
        <v>0</v>
      </c>
      <c r="BE509" s="21">
        <f t="shared" si="461"/>
        <v>0</v>
      </c>
      <c r="BF509" s="21" t="s">
        <v>2492</v>
      </c>
      <c r="BG509" s="41">
        <v>7321</v>
      </c>
    </row>
    <row r="510" spans="1:59" x14ac:dyDescent="0.3">
      <c r="A510" s="4" t="s">
        <v>491</v>
      </c>
      <c r="B510" s="13"/>
      <c r="C510" s="13" t="s">
        <v>1146</v>
      </c>
      <c r="D510" s="101" t="s">
        <v>1923</v>
      </c>
      <c r="E510" s="102"/>
      <c r="F510" s="13" t="s">
        <v>2386</v>
      </c>
      <c r="G510" s="21">
        <v>1</v>
      </c>
      <c r="H510" s="21">
        <v>0</v>
      </c>
      <c r="I510" s="21">
        <f t="shared" si="436"/>
        <v>0</v>
      </c>
      <c r="J510" s="21">
        <f t="shared" si="437"/>
        <v>0</v>
      </c>
      <c r="K510" s="21">
        <f t="shared" si="438"/>
        <v>0</v>
      </c>
      <c r="L510" s="21">
        <v>0</v>
      </c>
      <c r="M510" s="21">
        <f t="shared" si="439"/>
        <v>0</v>
      </c>
      <c r="N510" s="35"/>
      <c r="O510" s="39"/>
      <c r="U510" s="41">
        <f t="shared" si="440"/>
        <v>0</v>
      </c>
      <c r="W510" s="41">
        <f t="shared" si="441"/>
        <v>0</v>
      </c>
      <c r="X510" s="41">
        <f t="shared" si="442"/>
        <v>0</v>
      </c>
      <c r="Y510" s="41">
        <f t="shared" si="443"/>
        <v>0</v>
      </c>
      <c r="Z510" s="41">
        <f t="shared" si="444"/>
        <v>0</v>
      </c>
      <c r="AA510" s="41">
        <f t="shared" si="445"/>
        <v>0</v>
      </c>
      <c r="AB510" s="41">
        <f t="shared" si="446"/>
        <v>0</v>
      </c>
      <c r="AC510" s="41">
        <f t="shared" si="447"/>
        <v>0</v>
      </c>
      <c r="AD510" s="31"/>
      <c r="AE510" s="21">
        <f t="shared" si="448"/>
        <v>0</v>
      </c>
      <c r="AF510" s="21">
        <f t="shared" si="449"/>
        <v>0</v>
      </c>
      <c r="AG510" s="21">
        <f t="shared" si="450"/>
        <v>0</v>
      </c>
      <c r="AI510" s="41">
        <v>21</v>
      </c>
      <c r="AJ510" s="41">
        <f t="shared" si="451"/>
        <v>0</v>
      </c>
      <c r="AK510" s="41">
        <f t="shared" si="452"/>
        <v>0</v>
      </c>
      <c r="AL510" s="42" t="s">
        <v>13</v>
      </c>
      <c r="AQ510" s="41">
        <f t="shared" si="453"/>
        <v>0</v>
      </c>
      <c r="AR510" s="41">
        <f t="shared" si="454"/>
        <v>0</v>
      </c>
      <c r="AS510" s="41">
        <f t="shared" si="455"/>
        <v>0</v>
      </c>
      <c r="AT510" s="44" t="s">
        <v>2441</v>
      </c>
      <c r="AU510" s="44" t="s">
        <v>2481</v>
      </c>
      <c r="AV510" s="31" t="s">
        <v>2486</v>
      </c>
      <c r="AX510" s="41">
        <f t="shared" si="456"/>
        <v>0</v>
      </c>
      <c r="AY510" s="41">
        <f t="shared" si="457"/>
        <v>0</v>
      </c>
      <c r="AZ510" s="41">
        <v>0</v>
      </c>
      <c r="BA510" s="41">
        <f t="shared" si="458"/>
        <v>0</v>
      </c>
      <c r="BC510" s="21">
        <f t="shared" si="459"/>
        <v>0</v>
      </c>
      <c r="BD510" s="21">
        <f t="shared" si="460"/>
        <v>0</v>
      </c>
      <c r="BE510" s="21">
        <f t="shared" si="461"/>
        <v>0</v>
      </c>
      <c r="BF510" s="21" t="s">
        <v>2492</v>
      </c>
      <c r="BG510" s="41">
        <v>7321</v>
      </c>
    </row>
    <row r="511" spans="1:59" x14ac:dyDescent="0.3">
      <c r="A511" s="4" t="s">
        <v>492</v>
      </c>
      <c r="B511" s="13"/>
      <c r="C511" s="13" t="s">
        <v>1146</v>
      </c>
      <c r="D511" s="101" t="s">
        <v>1877</v>
      </c>
      <c r="E511" s="102"/>
      <c r="F511" s="13" t="s">
        <v>2384</v>
      </c>
      <c r="G511" s="21">
        <v>70</v>
      </c>
      <c r="H511" s="21">
        <v>0</v>
      </c>
      <c r="I511" s="21">
        <f t="shared" si="436"/>
        <v>0</v>
      </c>
      <c r="J511" s="21">
        <f t="shared" si="437"/>
        <v>0</v>
      </c>
      <c r="K511" s="21">
        <f t="shared" si="438"/>
        <v>0</v>
      </c>
      <c r="L511" s="21">
        <v>0</v>
      </c>
      <c r="M511" s="21">
        <f t="shared" si="439"/>
        <v>0</v>
      </c>
      <c r="N511" s="35"/>
      <c r="O511" s="39"/>
      <c r="U511" s="41">
        <f t="shared" si="440"/>
        <v>0</v>
      </c>
      <c r="W511" s="41">
        <f t="shared" si="441"/>
        <v>0</v>
      </c>
      <c r="X511" s="41">
        <f t="shared" si="442"/>
        <v>0</v>
      </c>
      <c r="Y511" s="41">
        <f t="shared" si="443"/>
        <v>0</v>
      </c>
      <c r="Z511" s="41">
        <f t="shared" si="444"/>
        <v>0</v>
      </c>
      <c r="AA511" s="41">
        <f t="shared" si="445"/>
        <v>0</v>
      </c>
      <c r="AB511" s="41">
        <f t="shared" si="446"/>
        <v>0</v>
      </c>
      <c r="AC511" s="41">
        <f t="shared" si="447"/>
        <v>0</v>
      </c>
      <c r="AD511" s="31"/>
      <c r="AE511" s="21">
        <f t="shared" si="448"/>
        <v>0</v>
      </c>
      <c r="AF511" s="21">
        <f t="shared" si="449"/>
        <v>0</v>
      </c>
      <c r="AG511" s="21">
        <f t="shared" si="450"/>
        <v>0</v>
      </c>
      <c r="AI511" s="41">
        <v>21</v>
      </c>
      <c r="AJ511" s="41">
        <f t="shared" si="451"/>
        <v>0</v>
      </c>
      <c r="AK511" s="41">
        <f t="shared" si="452"/>
        <v>0</v>
      </c>
      <c r="AL511" s="42" t="s">
        <v>13</v>
      </c>
      <c r="AQ511" s="41">
        <f t="shared" si="453"/>
        <v>0</v>
      </c>
      <c r="AR511" s="41">
        <f t="shared" si="454"/>
        <v>0</v>
      </c>
      <c r="AS511" s="41">
        <f t="shared" si="455"/>
        <v>0</v>
      </c>
      <c r="AT511" s="44" t="s">
        <v>2441</v>
      </c>
      <c r="AU511" s="44" t="s">
        <v>2481</v>
      </c>
      <c r="AV511" s="31" t="s">
        <v>2486</v>
      </c>
      <c r="AX511" s="41">
        <f t="shared" si="456"/>
        <v>0</v>
      </c>
      <c r="AY511" s="41">
        <f t="shared" si="457"/>
        <v>0</v>
      </c>
      <c r="AZ511" s="41">
        <v>0</v>
      </c>
      <c r="BA511" s="41">
        <f t="shared" si="458"/>
        <v>0</v>
      </c>
      <c r="BC511" s="21">
        <f t="shared" si="459"/>
        <v>0</v>
      </c>
      <c r="BD511" s="21">
        <f t="shared" si="460"/>
        <v>0</v>
      </c>
      <c r="BE511" s="21">
        <f t="shared" si="461"/>
        <v>0</v>
      </c>
      <c r="BF511" s="21" t="s">
        <v>2492</v>
      </c>
      <c r="BG511" s="41">
        <v>7321</v>
      </c>
    </row>
    <row r="512" spans="1:59" x14ac:dyDescent="0.3">
      <c r="A512" s="4" t="s">
        <v>493</v>
      </c>
      <c r="B512" s="13"/>
      <c r="C512" s="13" t="s">
        <v>1146</v>
      </c>
      <c r="D512" s="101" t="s">
        <v>1879</v>
      </c>
      <c r="E512" s="102"/>
      <c r="F512" s="13" t="s">
        <v>2384</v>
      </c>
      <c r="G512" s="21">
        <v>43</v>
      </c>
      <c r="H512" s="21">
        <v>0</v>
      </c>
      <c r="I512" s="21">
        <f t="shared" si="436"/>
        <v>0</v>
      </c>
      <c r="J512" s="21">
        <f t="shared" si="437"/>
        <v>0</v>
      </c>
      <c r="K512" s="21">
        <f t="shared" si="438"/>
        <v>0</v>
      </c>
      <c r="L512" s="21">
        <v>0</v>
      </c>
      <c r="M512" s="21">
        <f t="shared" si="439"/>
        <v>0</v>
      </c>
      <c r="N512" s="35"/>
      <c r="O512" s="39"/>
      <c r="U512" s="41">
        <f t="shared" si="440"/>
        <v>0</v>
      </c>
      <c r="W512" s="41">
        <f t="shared" si="441"/>
        <v>0</v>
      </c>
      <c r="X512" s="41">
        <f t="shared" si="442"/>
        <v>0</v>
      </c>
      <c r="Y512" s="41">
        <f t="shared" si="443"/>
        <v>0</v>
      </c>
      <c r="Z512" s="41">
        <f t="shared" si="444"/>
        <v>0</v>
      </c>
      <c r="AA512" s="41">
        <f t="shared" si="445"/>
        <v>0</v>
      </c>
      <c r="AB512" s="41">
        <f t="shared" si="446"/>
        <v>0</v>
      </c>
      <c r="AC512" s="41">
        <f t="shared" si="447"/>
        <v>0</v>
      </c>
      <c r="AD512" s="31"/>
      <c r="AE512" s="21">
        <f t="shared" si="448"/>
        <v>0</v>
      </c>
      <c r="AF512" s="21">
        <f t="shared" si="449"/>
        <v>0</v>
      </c>
      <c r="AG512" s="21">
        <f t="shared" si="450"/>
        <v>0</v>
      </c>
      <c r="AI512" s="41">
        <v>21</v>
      </c>
      <c r="AJ512" s="41">
        <f t="shared" si="451"/>
        <v>0</v>
      </c>
      <c r="AK512" s="41">
        <f t="shared" si="452"/>
        <v>0</v>
      </c>
      <c r="AL512" s="42" t="s">
        <v>13</v>
      </c>
      <c r="AQ512" s="41">
        <f t="shared" si="453"/>
        <v>0</v>
      </c>
      <c r="AR512" s="41">
        <f t="shared" si="454"/>
        <v>0</v>
      </c>
      <c r="AS512" s="41">
        <f t="shared" si="455"/>
        <v>0</v>
      </c>
      <c r="AT512" s="44" t="s">
        <v>2441</v>
      </c>
      <c r="AU512" s="44" t="s">
        <v>2481</v>
      </c>
      <c r="AV512" s="31" t="s">
        <v>2486</v>
      </c>
      <c r="AX512" s="41">
        <f t="shared" si="456"/>
        <v>0</v>
      </c>
      <c r="AY512" s="41">
        <f t="shared" si="457"/>
        <v>0</v>
      </c>
      <c r="AZ512" s="41">
        <v>0</v>
      </c>
      <c r="BA512" s="41">
        <f t="shared" si="458"/>
        <v>0</v>
      </c>
      <c r="BC512" s="21">
        <f t="shared" si="459"/>
        <v>0</v>
      </c>
      <c r="BD512" s="21">
        <f t="shared" si="460"/>
        <v>0</v>
      </c>
      <c r="BE512" s="21">
        <f t="shared" si="461"/>
        <v>0</v>
      </c>
      <c r="BF512" s="21" t="s">
        <v>2492</v>
      </c>
      <c r="BG512" s="41">
        <v>7321</v>
      </c>
    </row>
    <row r="513" spans="1:59" x14ac:dyDescent="0.3">
      <c r="A513" s="4" t="s">
        <v>494</v>
      </c>
      <c r="B513" s="13"/>
      <c r="C513" s="13" t="s">
        <v>1146</v>
      </c>
      <c r="D513" s="101" t="s">
        <v>1878</v>
      </c>
      <c r="E513" s="102"/>
      <c r="F513" s="13" t="s">
        <v>2385</v>
      </c>
      <c r="G513" s="21">
        <v>71</v>
      </c>
      <c r="H513" s="21">
        <v>0</v>
      </c>
      <c r="I513" s="21">
        <f t="shared" si="436"/>
        <v>0</v>
      </c>
      <c r="J513" s="21">
        <f t="shared" si="437"/>
        <v>0</v>
      </c>
      <c r="K513" s="21">
        <f t="shared" si="438"/>
        <v>0</v>
      </c>
      <c r="L513" s="21">
        <v>0</v>
      </c>
      <c r="M513" s="21">
        <f t="shared" si="439"/>
        <v>0</v>
      </c>
      <c r="N513" s="35"/>
      <c r="O513" s="39"/>
      <c r="U513" s="41">
        <f t="shared" si="440"/>
        <v>0</v>
      </c>
      <c r="W513" s="41">
        <f t="shared" si="441"/>
        <v>0</v>
      </c>
      <c r="X513" s="41">
        <f t="shared" si="442"/>
        <v>0</v>
      </c>
      <c r="Y513" s="41">
        <f t="shared" si="443"/>
        <v>0</v>
      </c>
      <c r="Z513" s="41">
        <f t="shared" si="444"/>
        <v>0</v>
      </c>
      <c r="AA513" s="41">
        <f t="shared" si="445"/>
        <v>0</v>
      </c>
      <c r="AB513" s="41">
        <f t="shared" si="446"/>
        <v>0</v>
      </c>
      <c r="AC513" s="41">
        <f t="shared" si="447"/>
        <v>0</v>
      </c>
      <c r="AD513" s="31"/>
      <c r="AE513" s="21">
        <f t="shared" si="448"/>
        <v>0</v>
      </c>
      <c r="AF513" s="21">
        <f t="shared" si="449"/>
        <v>0</v>
      </c>
      <c r="AG513" s="21">
        <f t="shared" si="450"/>
        <v>0</v>
      </c>
      <c r="AI513" s="41">
        <v>21</v>
      </c>
      <c r="AJ513" s="41">
        <f t="shared" si="451"/>
        <v>0</v>
      </c>
      <c r="AK513" s="41">
        <f t="shared" si="452"/>
        <v>0</v>
      </c>
      <c r="AL513" s="42" t="s">
        <v>13</v>
      </c>
      <c r="AQ513" s="41">
        <f t="shared" si="453"/>
        <v>0</v>
      </c>
      <c r="AR513" s="41">
        <f t="shared" si="454"/>
        <v>0</v>
      </c>
      <c r="AS513" s="41">
        <f t="shared" si="455"/>
        <v>0</v>
      </c>
      <c r="AT513" s="44" t="s">
        <v>2441</v>
      </c>
      <c r="AU513" s="44" t="s">
        <v>2481</v>
      </c>
      <c r="AV513" s="31" t="s">
        <v>2486</v>
      </c>
      <c r="AX513" s="41">
        <f t="shared" si="456"/>
        <v>0</v>
      </c>
      <c r="AY513" s="41">
        <f t="shared" si="457"/>
        <v>0</v>
      </c>
      <c r="AZ513" s="41">
        <v>0</v>
      </c>
      <c r="BA513" s="41">
        <f t="shared" si="458"/>
        <v>0</v>
      </c>
      <c r="BC513" s="21">
        <f t="shared" si="459"/>
        <v>0</v>
      </c>
      <c r="BD513" s="21">
        <f t="shared" si="460"/>
        <v>0</v>
      </c>
      <c r="BE513" s="21">
        <f t="shared" si="461"/>
        <v>0</v>
      </c>
      <c r="BF513" s="21" t="s">
        <v>2492</v>
      </c>
      <c r="BG513" s="41">
        <v>7321</v>
      </c>
    </row>
    <row r="514" spans="1:59" x14ac:dyDescent="0.3">
      <c r="A514" s="4" t="s">
        <v>495</v>
      </c>
      <c r="B514" s="13"/>
      <c r="C514" s="13" t="s">
        <v>1146</v>
      </c>
      <c r="D514" s="101" t="s">
        <v>1878</v>
      </c>
      <c r="E514" s="102"/>
      <c r="F514" s="13" t="s">
        <v>2385</v>
      </c>
      <c r="G514" s="21">
        <v>120</v>
      </c>
      <c r="H514" s="21">
        <v>0</v>
      </c>
      <c r="I514" s="21">
        <f t="shared" si="436"/>
        <v>0</v>
      </c>
      <c r="J514" s="21">
        <f t="shared" si="437"/>
        <v>0</v>
      </c>
      <c r="K514" s="21">
        <f t="shared" si="438"/>
        <v>0</v>
      </c>
      <c r="L514" s="21">
        <v>0</v>
      </c>
      <c r="M514" s="21">
        <f t="shared" si="439"/>
        <v>0</v>
      </c>
      <c r="N514" s="35"/>
      <c r="O514" s="39"/>
      <c r="U514" s="41">
        <f t="shared" si="440"/>
        <v>0</v>
      </c>
      <c r="W514" s="41">
        <f t="shared" si="441"/>
        <v>0</v>
      </c>
      <c r="X514" s="41">
        <f t="shared" si="442"/>
        <v>0</v>
      </c>
      <c r="Y514" s="41">
        <f t="shared" si="443"/>
        <v>0</v>
      </c>
      <c r="Z514" s="41">
        <f t="shared" si="444"/>
        <v>0</v>
      </c>
      <c r="AA514" s="41">
        <f t="shared" si="445"/>
        <v>0</v>
      </c>
      <c r="AB514" s="41">
        <f t="shared" si="446"/>
        <v>0</v>
      </c>
      <c r="AC514" s="41">
        <f t="shared" si="447"/>
        <v>0</v>
      </c>
      <c r="AD514" s="31"/>
      <c r="AE514" s="21">
        <f t="shared" si="448"/>
        <v>0</v>
      </c>
      <c r="AF514" s="21">
        <f t="shared" si="449"/>
        <v>0</v>
      </c>
      <c r="AG514" s="21">
        <f t="shared" si="450"/>
        <v>0</v>
      </c>
      <c r="AI514" s="41">
        <v>21</v>
      </c>
      <c r="AJ514" s="41">
        <f t="shared" si="451"/>
        <v>0</v>
      </c>
      <c r="AK514" s="41">
        <f t="shared" si="452"/>
        <v>0</v>
      </c>
      <c r="AL514" s="42" t="s">
        <v>13</v>
      </c>
      <c r="AQ514" s="41">
        <f t="shared" si="453"/>
        <v>0</v>
      </c>
      <c r="AR514" s="41">
        <f t="shared" si="454"/>
        <v>0</v>
      </c>
      <c r="AS514" s="41">
        <f t="shared" si="455"/>
        <v>0</v>
      </c>
      <c r="AT514" s="44" t="s">
        <v>2441</v>
      </c>
      <c r="AU514" s="44" t="s">
        <v>2481</v>
      </c>
      <c r="AV514" s="31" t="s">
        <v>2486</v>
      </c>
      <c r="AX514" s="41">
        <f t="shared" si="456"/>
        <v>0</v>
      </c>
      <c r="AY514" s="41">
        <f t="shared" si="457"/>
        <v>0</v>
      </c>
      <c r="AZ514" s="41">
        <v>0</v>
      </c>
      <c r="BA514" s="41">
        <f t="shared" si="458"/>
        <v>0</v>
      </c>
      <c r="BC514" s="21">
        <f t="shared" si="459"/>
        <v>0</v>
      </c>
      <c r="BD514" s="21">
        <f t="shared" si="460"/>
        <v>0</v>
      </c>
      <c r="BE514" s="21">
        <f t="shared" si="461"/>
        <v>0</v>
      </c>
      <c r="BF514" s="21" t="s">
        <v>2492</v>
      </c>
      <c r="BG514" s="41">
        <v>7321</v>
      </c>
    </row>
    <row r="515" spans="1:59" x14ac:dyDescent="0.3">
      <c r="A515" s="4" t="s">
        <v>496</v>
      </c>
      <c r="B515" s="13"/>
      <c r="C515" s="13" t="s">
        <v>1146</v>
      </c>
      <c r="D515" s="101" t="s">
        <v>1878</v>
      </c>
      <c r="E515" s="102"/>
      <c r="F515" s="13" t="s">
        <v>2385</v>
      </c>
      <c r="G515" s="21">
        <v>93</v>
      </c>
      <c r="H515" s="21">
        <v>0</v>
      </c>
      <c r="I515" s="21">
        <f t="shared" si="436"/>
        <v>0</v>
      </c>
      <c r="J515" s="21">
        <f t="shared" si="437"/>
        <v>0</v>
      </c>
      <c r="K515" s="21">
        <f t="shared" si="438"/>
        <v>0</v>
      </c>
      <c r="L515" s="21">
        <v>0</v>
      </c>
      <c r="M515" s="21">
        <f t="shared" si="439"/>
        <v>0</v>
      </c>
      <c r="N515" s="35"/>
      <c r="O515" s="39"/>
      <c r="U515" s="41">
        <f t="shared" si="440"/>
        <v>0</v>
      </c>
      <c r="W515" s="41">
        <f t="shared" si="441"/>
        <v>0</v>
      </c>
      <c r="X515" s="41">
        <f t="shared" si="442"/>
        <v>0</v>
      </c>
      <c r="Y515" s="41">
        <f t="shared" si="443"/>
        <v>0</v>
      </c>
      <c r="Z515" s="41">
        <f t="shared" si="444"/>
        <v>0</v>
      </c>
      <c r="AA515" s="41">
        <f t="shared" si="445"/>
        <v>0</v>
      </c>
      <c r="AB515" s="41">
        <f t="shared" si="446"/>
        <v>0</v>
      </c>
      <c r="AC515" s="41">
        <f t="shared" si="447"/>
        <v>0</v>
      </c>
      <c r="AD515" s="31"/>
      <c r="AE515" s="21">
        <f t="shared" si="448"/>
        <v>0</v>
      </c>
      <c r="AF515" s="21">
        <f t="shared" si="449"/>
        <v>0</v>
      </c>
      <c r="AG515" s="21">
        <f t="shared" si="450"/>
        <v>0</v>
      </c>
      <c r="AI515" s="41">
        <v>21</v>
      </c>
      <c r="AJ515" s="41">
        <f t="shared" si="451"/>
        <v>0</v>
      </c>
      <c r="AK515" s="41">
        <f t="shared" si="452"/>
        <v>0</v>
      </c>
      <c r="AL515" s="42" t="s">
        <v>13</v>
      </c>
      <c r="AQ515" s="41">
        <f t="shared" si="453"/>
        <v>0</v>
      </c>
      <c r="AR515" s="41">
        <f t="shared" si="454"/>
        <v>0</v>
      </c>
      <c r="AS515" s="41">
        <f t="shared" si="455"/>
        <v>0</v>
      </c>
      <c r="AT515" s="44" t="s">
        <v>2441</v>
      </c>
      <c r="AU515" s="44" t="s">
        <v>2481</v>
      </c>
      <c r="AV515" s="31" t="s">
        <v>2486</v>
      </c>
      <c r="AX515" s="41">
        <f t="shared" si="456"/>
        <v>0</v>
      </c>
      <c r="AY515" s="41">
        <f t="shared" si="457"/>
        <v>0</v>
      </c>
      <c r="AZ515" s="41">
        <v>0</v>
      </c>
      <c r="BA515" s="41">
        <f t="shared" si="458"/>
        <v>0</v>
      </c>
      <c r="BC515" s="21">
        <f t="shared" si="459"/>
        <v>0</v>
      </c>
      <c r="BD515" s="21">
        <f t="shared" si="460"/>
        <v>0</v>
      </c>
      <c r="BE515" s="21">
        <f t="shared" si="461"/>
        <v>0</v>
      </c>
      <c r="BF515" s="21" t="s">
        <v>2492</v>
      </c>
      <c r="BG515" s="41">
        <v>7321</v>
      </c>
    </row>
    <row r="516" spans="1:59" x14ac:dyDescent="0.3">
      <c r="A516" s="4" t="s">
        <v>497</v>
      </c>
      <c r="B516" s="13"/>
      <c r="C516" s="13" t="s">
        <v>1146</v>
      </c>
      <c r="D516" s="101" t="s">
        <v>1919</v>
      </c>
      <c r="E516" s="102"/>
      <c r="F516" s="13" t="s">
        <v>2385</v>
      </c>
      <c r="G516" s="21">
        <v>114</v>
      </c>
      <c r="H516" s="21">
        <v>0</v>
      </c>
      <c r="I516" s="21">
        <f t="shared" si="436"/>
        <v>0</v>
      </c>
      <c r="J516" s="21">
        <f t="shared" si="437"/>
        <v>0</v>
      </c>
      <c r="K516" s="21">
        <f t="shared" si="438"/>
        <v>0</v>
      </c>
      <c r="L516" s="21">
        <v>0</v>
      </c>
      <c r="M516" s="21">
        <f t="shared" si="439"/>
        <v>0</v>
      </c>
      <c r="N516" s="35"/>
      <c r="O516" s="39"/>
      <c r="U516" s="41">
        <f t="shared" si="440"/>
        <v>0</v>
      </c>
      <c r="W516" s="41">
        <f t="shared" si="441"/>
        <v>0</v>
      </c>
      <c r="X516" s="41">
        <f t="shared" si="442"/>
        <v>0</v>
      </c>
      <c r="Y516" s="41">
        <f t="shared" si="443"/>
        <v>0</v>
      </c>
      <c r="Z516" s="41">
        <f t="shared" si="444"/>
        <v>0</v>
      </c>
      <c r="AA516" s="41">
        <f t="shared" si="445"/>
        <v>0</v>
      </c>
      <c r="AB516" s="41">
        <f t="shared" si="446"/>
        <v>0</v>
      </c>
      <c r="AC516" s="41">
        <f t="shared" si="447"/>
        <v>0</v>
      </c>
      <c r="AD516" s="31"/>
      <c r="AE516" s="21">
        <f t="shared" si="448"/>
        <v>0</v>
      </c>
      <c r="AF516" s="21">
        <f t="shared" si="449"/>
        <v>0</v>
      </c>
      <c r="AG516" s="21">
        <f t="shared" si="450"/>
        <v>0</v>
      </c>
      <c r="AI516" s="41">
        <v>21</v>
      </c>
      <c r="AJ516" s="41">
        <f t="shared" si="451"/>
        <v>0</v>
      </c>
      <c r="AK516" s="41">
        <f t="shared" si="452"/>
        <v>0</v>
      </c>
      <c r="AL516" s="42" t="s">
        <v>13</v>
      </c>
      <c r="AQ516" s="41">
        <f t="shared" si="453"/>
        <v>0</v>
      </c>
      <c r="AR516" s="41">
        <f t="shared" si="454"/>
        <v>0</v>
      </c>
      <c r="AS516" s="41">
        <f t="shared" si="455"/>
        <v>0</v>
      </c>
      <c r="AT516" s="44" t="s">
        <v>2441</v>
      </c>
      <c r="AU516" s="44" t="s">
        <v>2481</v>
      </c>
      <c r="AV516" s="31" t="s">
        <v>2486</v>
      </c>
      <c r="AX516" s="41">
        <f t="shared" si="456"/>
        <v>0</v>
      </c>
      <c r="AY516" s="41">
        <f t="shared" si="457"/>
        <v>0</v>
      </c>
      <c r="AZ516" s="41">
        <v>0</v>
      </c>
      <c r="BA516" s="41">
        <f t="shared" si="458"/>
        <v>0</v>
      </c>
      <c r="BC516" s="21">
        <f t="shared" si="459"/>
        <v>0</v>
      </c>
      <c r="BD516" s="21">
        <f t="shared" si="460"/>
        <v>0</v>
      </c>
      <c r="BE516" s="21">
        <f t="shared" si="461"/>
        <v>0</v>
      </c>
      <c r="BF516" s="21" t="s">
        <v>2492</v>
      </c>
      <c r="BG516" s="41">
        <v>7321</v>
      </c>
    </row>
    <row r="517" spans="1:59" x14ac:dyDescent="0.3">
      <c r="A517" s="4" t="s">
        <v>498</v>
      </c>
      <c r="B517" s="13"/>
      <c r="C517" s="13" t="s">
        <v>1146</v>
      </c>
      <c r="D517" s="101" t="s">
        <v>1919</v>
      </c>
      <c r="E517" s="102"/>
      <c r="F517" s="13" t="s">
        <v>2385</v>
      </c>
      <c r="G517" s="21">
        <v>65</v>
      </c>
      <c r="H517" s="21">
        <v>0</v>
      </c>
      <c r="I517" s="21">
        <f t="shared" ref="I517:I536" si="462">G517*AJ517</f>
        <v>0</v>
      </c>
      <c r="J517" s="21">
        <f t="shared" ref="J517:J536" si="463">G517*AK517</f>
        <v>0</v>
      </c>
      <c r="K517" s="21">
        <f t="shared" ref="K517:K536" si="464">G517*H517</f>
        <v>0</v>
      </c>
      <c r="L517" s="21">
        <v>0</v>
      </c>
      <c r="M517" s="21">
        <f t="shared" ref="M517:M536" si="465">G517*L517</f>
        <v>0</v>
      </c>
      <c r="N517" s="35"/>
      <c r="O517" s="39"/>
      <c r="U517" s="41">
        <f t="shared" ref="U517:U536" si="466">IF(AL517="5",BE517,0)</f>
        <v>0</v>
      </c>
      <c r="W517" s="41">
        <f t="shared" ref="W517:W536" si="467">IF(AL517="1",BC517,0)</f>
        <v>0</v>
      </c>
      <c r="X517" s="41">
        <f t="shared" ref="X517:X536" si="468">IF(AL517="1",BD517,0)</f>
        <v>0</v>
      </c>
      <c r="Y517" s="41">
        <f t="shared" ref="Y517:Y536" si="469">IF(AL517="7",BC517,0)</f>
        <v>0</v>
      </c>
      <c r="Z517" s="41">
        <f t="shared" ref="Z517:Z536" si="470">IF(AL517="7",BD517,0)</f>
        <v>0</v>
      </c>
      <c r="AA517" s="41">
        <f t="shared" ref="AA517:AA536" si="471">IF(AL517="2",BC517,0)</f>
        <v>0</v>
      </c>
      <c r="AB517" s="41">
        <f t="shared" ref="AB517:AB536" si="472">IF(AL517="2",BD517,0)</f>
        <v>0</v>
      </c>
      <c r="AC517" s="41">
        <f t="shared" ref="AC517:AC536" si="473">IF(AL517="0",BE517,0)</f>
        <v>0</v>
      </c>
      <c r="AD517" s="31"/>
      <c r="AE517" s="21">
        <f t="shared" ref="AE517:AE536" si="474">IF(AI517=0,K517,0)</f>
        <v>0</v>
      </c>
      <c r="AF517" s="21">
        <f t="shared" ref="AF517:AF536" si="475">IF(AI517=15,K517,0)</f>
        <v>0</v>
      </c>
      <c r="AG517" s="21">
        <f t="shared" ref="AG517:AG536" si="476">IF(AI517=21,K517,0)</f>
        <v>0</v>
      </c>
      <c r="AI517" s="41">
        <v>21</v>
      </c>
      <c r="AJ517" s="41">
        <f t="shared" ref="AJ517:AJ536" si="477">H517*0</f>
        <v>0</v>
      </c>
      <c r="AK517" s="41">
        <f t="shared" ref="AK517:AK536" si="478">H517*(1-0)</f>
        <v>0</v>
      </c>
      <c r="AL517" s="42" t="s">
        <v>13</v>
      </c>
      <c r="AQ517" s="41">
        <f t="shared" ref="AQ517:AQ536" si="479">AR517+AS517</f>
        <v>0</v>
      </c>
      <c r="AR517" s="41">
        <f t="shared" ref="AR517:AR536" si="480">G517*AJ517</f>
        <v>0</v>
      </c>
      <c r="AS517" s="41">
        <f t="shared" ref="AS517:AS536" si="481">G517*AK517</f>
        <v>0</v>
      </c>
      <c r="AT517" s="44" t="s">
        <v>2441</v>
      </c>
      <c r="AU517" s="44" t="s">
        <v>2481</v>
      </c>
      <c r="AV517" s="31" t="s">
        <v>2486</v>
      </c>
      <c r="AX517" s="41">
        <f t="shared" ref="AX517:AX536" si="482">AR517+AS517</f>
        <v>0</v>
      </c>
      <c r="AY517" s="41">
        <f t="shared" ref="AY517:AY536" si="483">H517/(100-AZ517)*100</f>
        <v>0</v>
      </c>
      <c r="AZ517" s="41">
        <v>0</v>
      </c>
      <c r="BA517" s="41">
        <f t="shared" ref="BA517:BA536" si="484">M517</f>
        <v>0</v>
      </c>
      <c r="BC517" s="21">
        <f t="shared" ref="BC517:BC536" si="485">G517*AJ517</f>
        <v>0</v>
      </c>
      <c r="BD517" s="21">
        <f t="shared" ref="BD517:BD536" si="486">G517*AK517</f>
        <v>0</v>
      </c>
      <c r="BE517" s="21">
        <f t="shared" ref="BE517:BE536" si="487">G517*H517</f>
        <v>0</v>
      </c>
      <c r="BF517" s="21" t="s">
        <v>2492</v>
      </c>
      <c r="BG517" s="41">
        <v>7321</v>
      </c>
    </row>
    <row r="518" spans="1:59" x14ac:dyDescent="0.3">
      <c r="A518" s="4" t="s">
        <v>499</v>
      </c>
      <c r="B518" s="13"/>
      <c r="C518" s="13" t="s">
        <v>1146</v>
      </c>
      <c r="D518" s="101" t="s">
        <v>1919</v>
      </c>
      <c r="E518" s="102"/>
      <c r="F518" s="13" t="s">
        <v>2385</v>
      </c>
      <c r="G518" s="21">
        <v>10</v>
      </c>
      <c r="H518" s="21">
        <v>0</v>
      </c>
      <c r="I518" s="21">
        <f t="shared" si="462"/>
        <v>0</v>
      </c>
      <c r="J518" s="21">
        <f t="shared" si="463"/>
        <v>0</v>
      </c>
      <c r="K518" s="21">
        <f t="shared" si="464"/>
        <v>0</v>
      </c>
      <c r="L518" s="21">
        <v>0</v>
      </c>
      <c r="M518" s="21">
        <f t="shared" si="465"/>
        <v>0</v>
      </c>
      <c r="N518" s="35"/>
      <c r="O518" s="39"/>
      <c r="U518" s="41">
        <f t="shared" si="466"/>
        <v>0</v>
      </c>
      <c r="W518" s="41">
        <f t="shared" si="467"/>
        <v>0</v>
      </c>
      <c r="X518" s="41">
        <f t="shared" si="468"/>
        <v>0</v>
      </c>
      <c r="Y518" s="41">
        <f t="shared" si="469"/>
        <v>0</v>
      </c>
      <c r="Z518" s="41">
        <f t="shared" si="470"/>
        <v>0</v>
      </c>
      <c r="AA518" s="41">
        <f t="shared" si="471"/>
        <v>0</v>
      </c>
      <c r="AB518" s="41">
        <f t="shared" si="472"/>
        <v>0</v>
      </c>
      <c r="AC518" s="41">
        <f t="shared" si="473"/>
        <v>0</v>
      </c>
      <c r="AD518" s="31"/>
      <c r="AE518" s="21">
        <f t="shared" si="474"/>
        <v>0</v>
      </c>
      <c r="AF518" s="21">
        <f t="shared" si="475"/>
        <v>0</v>
      </c>
      <c r="AG518" s="21">
        <f t="shared" si="476"/>
        <v>0</v>
      </c>
      <c r="AI518" s="41">
        <v>21</v>
      </c>
      <c r="AJ518" s="41">
        <f t="shared" si="477"/>
        <v>0</v>
      </c>
      <c r="AK518" s="41">
        <f t="shared" si="478"/>
        <v>0</v>
      </c>
      <c r="AL518" s="42" t="s">
        <v>13</v>
      </c>
      <c r="AQ518" s="41">
        <f t="shared" si="479"/>
        <v>0</v>
      </c>
      <c r="AR518" s="41">
        <f t="shared" si="480"/>
        <v>0</v>
      </c>
      <c r="AS518" s="41">
        <f t="shared" si="481"/>
        <v>0</v>
      </c>
      <c r="AT518" s="44" t="s">
        <v>2441</v>
      </c>
      <c r="AU518" s="44" t="s">
        <v>2481</v>
      </c>
      <c r="AV518" s="31" t="s">
        <v>2486</v>
      </c>
      <c r="AX518" s="41">
        <f t="shared" si="482"/>
        <v>0</v>
      </c>
      <c r="AY518" s="41">
        <f t="shared" si="483"/>
        <v>0</v>
      </c>
      <c r="AZ518" s="41">
        <v>0</v>
      </c>
      <c r="BA518" s="41">
        <f t="shared" si="484"/>
        <v>0</v>
      </c>
      <c r="BC518" s="21">
        <f t="shared" si="485"/>
        <v>0</v>
      </c>
      <c r="BD518" s="21">
        <f t="shared" si="486"/>
        <v>0</v>
      </c>
      <c r="BE518" s="21">
        <f t="shared" si="487"/>
        <v>0</v>
      </c>
      <c r="BF518" s="21" t="s">
        <v>2492</v>
      </c>
      <c r="BG518" s="41">
        <v>7321</v>
      </c>
    </row>
    <row r="519" spans="1:59" x14ac:dyDescent="0.3">
      <c r="A519" s="4" t="s">
        <v>500</v>
      </c>
      <c r="B519" s="13"/>
      <c r="C519" s="13" t="s">
        <v>1146</v>
      </c>
      <c r="D519" s="101" t="s">
        <v>1920</v>
      </c>
      <c r="E519" s="102"/>
      <c r="F519" s="13" t="s">
        <v>2385</v>
      </c>
      <c r="G519" s="21">
        <v>71</v>
      </c>
      <c r="H519" s="21">
        <v>0</v>
      </c>
      <c r="I519" s="21">
        <f t="shared" si="462"/>
        <v>0</v>
      </c>
      <c r="J519" s="21">
        <f t="shared" si="463"/>
        <v>0</v>
      </c>
      <c r="K519" s="21">
        <f t="shared" si="464"/>
        <v>0</v>
      </c>
      <c r="L519" s="21">
        <v>0</v>
      </c>
      <c r="M519" s="21">
        <f t="shared" si="465"/>
        <v>0</v>
      </c>
      <c r="N519" s="35"/>
      <c r="O519" s="39"/>
      <c r="U519" s="41">
        <f t="shared" si="466"/>
        <v>0</v>
      </c>
      <c r="W519" s="41">
        <f t="shared" si="467"/>
        <v>0</v>
      </c>
      <c r="X519" s="41">
        <f t="shared" si="468"/>
        <v>0</v>
      </c>
      <c r="Y519" s="41">
        <f t="shared" si="469"/>
        <v>0</v>
      </c>
      <c r="Z519" s="41">
        <f t="shared" si="470"/>
        <v>0</v>
      </c>
      <c r="AA519" s="41">
        <f t="shared" si="471"/>
        <v>0</v>
      </c>
      <c r="AB519" s="41">
        <f t="shared" si="472"/>
        <v>0</v>
      </c>
      <c r="AC519" s="41">
        <f t="shared" si="473"/>
        <v>0</v>
      </c>
      <c r="AD519" s="31"/>
      <c r="AE519" s="21">
        <f t="shared" si="474"/>
        <v>0</v>
      </c>
      <c r="AF519" s="21">
        <f t="shared" si="475"/>
        <v>0</v>
      </c>
      <c r="AG519" s="21">
        <f t="shared" si="476"/>
        <v>0</v>
      </c>
      <c r="AI519" s="41">
        <v>21</v>
      </c>
      <c r="AJ519" s="41">
        <f t="shared" si="477"/>
        <v>0</v>
      </c>
      <c r="AK519" s="41">
        <f t="shared" si="478"/>
        <v>0</v>
      </c>
      <c r="AL519" s="42" t="s">
        <v>13</v>
      </c>
      <c r="AQ519" s="41">
        <f t="shared" si="479"/>
        <v>0</v>
      </c>
      <c r="AR519" s="41">
        <f t="shared" si="480"/>
        <v>0</v>
      </c>
      <c r="AS519" s="41">
        <f t="shared" si="481"/>
        <v>0</v>
      </c>
      <c r="AT519" s="44" t="s">
        <v>2441</v>
      </c>
      <c r="AU519" s="44" t="s">
        <v>2481</v>
      </c>
      <c r="AV519" s="31" t="s">
        <v>2486</v>
      </c>
      <c r="AX519" s="41">
        <f t="shared" si="482"/>
        <v>0</v>
      </c>
      <c r="AY519" s="41">
        <f t="shared" si="483"/>
        <v>0</v>
      </c>
      <c r="AZ519" s="41">
        <v>0</v>
      </c>
      <c r="BA519" s="41">
        <f t="shared" si="484"/>
        <v>0</v>
      </c>
      <c r="BC519" s="21">
        <f t="shared" si="485"/>
        <v>0</v>
      </c>
      <c r="BD519" s="21">
        <f t="shared" si="486"/>
        <v>0</v>
      </c>
      <c r="BE519" s="21">
        <f t="shared" si="487"/>
        <v>0</v>
      </c>
      <c r="BF519" s="21" t="s">
        <v>2492</v>
      </c>
      <c r="BG519" s="41">
        <v>7321</v>
      </c>
    </row>
    <row r="520" spans="1:59" x14ac:dyDescent="0.3">
      <c r="A520" s="4" t="s">
        <v>501</v>
      </c>
      <c r="B520" s="13"/>
      <c r="C520" s="13" t="s">
        <v>1146</v>
      </c>
      <c r="D520" s="101" t="s">
        <v>1920</v>
      </c>
      <c r="E520" s="102"/>
      <c r="F520" s="13" t="s">
        <v>2385</v>
      </c>
      <c r="G520" s="21">
        <v>120</v>
      </c>
      <c r="H520" s="21">
        <v>0</v>
      </c>
      <c r="I520" s="21">
        <f t="shared" si="462"/>
        <v>0</v>
      </c>
      <c r="J520" s="21">
        <f t="shared" si="463"/>
        <v>0</v>
      </c>
      <c r="K520" s="21">
        <f t="shared" si="464"/>
        <v>0</v>
      </c>
      <c r="L520" s="21">
        <v>0</v>
      </c>
      <c r="M520" s="21">
        <f t="shared" si="465"/>
        <v>0</v>
      </c>
      <c r="N520" s="35"/>
      <c r="O520" s="39"/>
      <c r="U520" s="41">
        <f t="shared" si="466"/>
        <v>0</v>
      </c>
      <c r="W520" s="41">
        <f t="shared" si="467"/>
        <v>0</v>
      </c>
      <c r="X520" s="41">
        <f t="shared" si="468"/>
        <v>0</v>
      </c>
      <c r="Y520" s="41">
        <f t="shared" si="469"/>
        <v>0</v>
      </c>
      <c r="Z520" s="41">
        <f t="shared" si="470"/>
        <v>0</v>
      </c>
      <c r="AA520" s="41">
        <f t="shared" si="471"/>
        <v>0</v>
      </c>
      <c r="AB520" s="41">
        <f t="shared" si="472"/>
        <v>0</v>
      </c>
      <c r="AC520" s="41">
        <f t="shared" si="473"/>
        <v>0</v>
      </c>
      <c r="AD520" s="31"/>
      <c r="AE520" s="21">
        <f t="shared" si="474"/>
        <v>0</v>
      </c>
      <c r="AF520" s="21">
        <f t="shared" si="475"/>
        <v>0</v>
      </c>
      <c r="AG520" s="21">
        <f t="shared" si="476"/>
        <v>0</v>
      </c>
      <c r="AI520" s="41">
        <v>21</v>
      </c>
      <c r="AJ520" s="41">
        <f t="shared" si="477"/>
        <v>0</v>
      </c>
      <c r="AK520" s="41">
        <f t="shared" si="478"/>
        <v>0</v>
      </c>
      <c r="AL520" s="42" t="s">
        <v>13</v>
      </c>
      <c r="AQ520" s="41">
        <f t="shared" si="479"/>
        <v>0</v>
      </c>
      <c r="AR520" s="41">
        <f t="shared" si="480"/>
        <v>0</v>
      </c>
      <c r="AS520" s="41">
        <f t="shared" si="481"/>
        <v>0</v>
      </c>
      <c r="AT520" s="44" t="s">
        <v>2441</v>
      </c>
      <c r="AU520" s="44" t="s">
        <v>2481</v>
      </c>
      <c r="AV520" s="31" t="s">
        <v>2486</v>
      </c>
      <c r="AX520" s="41">
        <f t="shared" si="482"/>
        <v>0</v>
      </c>
      <c r="AY520" s="41">
        <f t="shared" si="483"/>
        <v>0</v>
      </c>
      <c r="AZ520" s="41">
        <v>0</v>
      </c>
      <c r="BA520" s="41">
        <f t="shared" si="484"/>
        <v>0</v>
      </c>
      <c r="BC520" s="21">
        <f t="shared" si="485"/>
        <v>0</v>
      </c>
      <c r="BD520" s="21">
        <f t="shared" si="486"/>
        <v>0</v>
      </c>
      <c r="BE520" s="21">
        <f t="shared" si="487"/>
        <v>0</v>
      </c>
      <c r="BF520" s="21" t="s">
        <v>2492</v>
      </c>
      <c r="BG520" s="41">
        <v>7321</v>
      </c>
    </row>
    <row r="521" spans="1:59" x14ac:dyDescent="0.3">
      <c r="A521" s="4" t="s">
        <v>502</v>
      </c>
      <c r="B521" s="13"/>
      <c r="C521" s="13" t="s">
        <v>1146</v>
      </c>
      <c r="D521" s="101" t="s">
        <v>1920</v>
      </c>
      <c r="E521" s="102"/>
      <c r="F521" s="13" t="s">
        <v>2385</v>
      </c>
      <c r="G521" s="21">
        <v>93</v>
      </c>
      <c r="H521" s="21">
        <v>0</v>
      </c>
      <c r="I521" s="21">
        <f t="shared" si="462"/>
        <v>0</v>
      </c>
      <c r="J521" s="21">
        <f t="shared" si="463"/>
        <v>0</v>
      </c>
      <c r="K521" s="21">
        <f t="shared" si="464"/>
        <v>0</v>
      </c>
      <c r="L521" s="21">
        <v>0</v>
      </c>
      <c r="M521" s="21">
        <f t="shared" si="465"/>
        <v>0</v>
      </c>
      <c r="N521" s="35"/>
      <c r="O521" s="39"/>
      <c r="U521" s="41">
        <f t="shared" si="466"/>
        <v>0</v>
      </c>
      <c r="W521" s="41">
        <f t="shared" si="467"/>
        <v>0</v>
      </c>
      <c r="X521" s="41">
        <f t="shared" si="468"/>
        <v>0</v>
      </c>
      <c r="Y521" s="41">
        <f t="shared" si="469"/>
        <v>0</v>
      </c>
      <c r="Z521" s="41">
        <f t="shared" si="470"/>
        <v>0</v>
      </c>
      <c r="AA521" s="41">
        <f t="shared" si="471"/>
        <v>0</v>
      </c>
      <c r="AB521" s="41">
        <f t="shared" si="472"/>
        <v>0</v>
      </c>
      <c r="AC521" s="41">
        <f t="shared" si="473"/>
        <v>0</v>
      </c>
      <c r="AD521" s="31"/>
      <c r="AE521" s="21">
        <f t="shared" si="474"/>
        <v>0</v>
      </c>
      <c r="AF521" s="21">
        <f t="shared" si="475"/>
        <v>0</v>
      </c>
      <c r="AG521" s="21">
        <f t="shared" si="476"/>
        <v>0</v>
      </c>
      <c r="AI521" s="41">
        <v>21</v>
      </c>
      <c r="AJ521" s="41">
        <f t="shared" si="477"/>
        <v>0</v>
      </c>
      <c r="AK521" s="41">
        <f t="shared" si="478"/>
        <v>0</v>
      </c>
      <c r="AL521" s="42" t="s">
        <v>13</v>
      </c>
      <c r="AQ521" s="41">
        <f t="shared" si="479"/>
        <v>0</v>
      </c>
      <c r="AR521" s="41">
        <f t="shared" si="480"/>
        <v>0</v>
      </c>
      <c r="AS521" s="41">
        <f t="shared" si="481"/>
        <v>0</v>
      </c>
      <c r="AT521" s="44" t="s">
        <v>2441</v>
      </c>
      <c r="AU521" s="44" t="s">
        <v>2481</v>
      </c>
      <c r="AV521" s="31" t="s">
        <v>2486</v>
      </c>
      <c r="AX521" s="41">
        <f t="shared" si="482"/>
        <v>0</v>
      </c>
      <c r="AY521" s="41">
        <f t="shared" si="483"/>
        <v>0</v>
      </c>
      <c r="AZ521" s="41">
        <v>0</v>
      </c>
      <c r="BA521" s="41">
        <f t="shared" si="484"/>
        <v>0</v>
      </c>
      <c r="BC521" s="21">
        <f t="shared" si="485"/>
        <v>0</v>
      </c>
      <c r="BD521" s="21">
        <f t="shared" si="486"/>
        <v>0</v>
      </c>
      <c r="BE521" s="21">
        <f t="shared" si="487"/>
        <v>0</v>
      </c>
      <c r="BF521" s="21" t="s">
        <v>2492</v>
      </c>
      <c r="BG521" s="41">
        <v>7321</v>
      </c>
    </row>
    <row r="522" spans="1:59" x14ac:dyDescent="0.3">
      <c r="A522" s="4" t="s">
        <v>503</v>
      </c>
      <c r="B522" s="13"/>
      <c r="C522" s="13" t="s">
        <v>1146</v>
      </c>
      <c r="D522" s="101" t="s">
        <v>1920</v>
      </c>
      <c r="E522" s="102"/>
      <c r="F522" s="13" t="s">
        <v>2385</v>
      </c>
      <c r="G522" s="21">
        <v>114</v>
      </c>
      <c r="H522" s="21">
        <v>0</v>
      </c>
      <c r="I522" s="21">
        <f t="shared" si="462"/>
        <v>0</v>
      </c>
      <c r="J522" s="21">
        <f t="shared" si="463"/>
        <v>0</v>
      </c>
      <c r="K522" s="21">
        <f t="shared" si="464"/>
        <v>0</v>
      </c>
      <c r="L522" s="21">
        <v>0</v>
      </c>
      <c r="M522" s="21">
        <f t="shared" si="465"/>
        <v>0</v>
      </c>
      <c r="N522" s="35"/>
      <c r="O522" s="39"/>
      <c r="U522" s="41">
        <f t="shared" si="466"/>
        <v>0</v>
      </c>
      <c r="W522" s="41">
        <f t="shared" si="467"/>
        <v>0</v>
      </c>
      <c r="X522" s="41">
        <f t="shared" si="468"/>
        <v>0</v>
      </c>
      <c r="Y522" s="41">
        <f t="shared" si="469"/>
        <v>0</v>
      </c>
      <c r="Z522" s="41">
        <f t="shared" si="470"/>
        <v>0</v>
      </c>
      <c r="AA522" s="41">
        <f t="shared" si="471"/>
        <v>0</v>
      </c>
      <c r="AB522" s="41">
        <f t="shared" si="472"/>
        <v>0</v>
      </c>
      <c r="AC522" s="41">
        <f t="shared" si="473"/>
        <v>0</v>
      </c>
      <c r="AD522" s="31"/>
      <c r="AE522" s="21">
        <f t="shared" si="474"/>
        <v>0</v>
      </c>
      <c r="AF522" s="21">
        <f t="shared" si="475"/>
        <v>0</v>
      </c>
      <c r="AG522" s="21">
        <f t="shared" si="476"/>
        <v>0</v>
      </c>
      <c r="AI522" s="41">
        <v>21</v>
      </c>
      <c r="AJ522" s="41">
        <f t="shared" si="477"/>
        <v>0</v>
      </c>
      <c r="AK522" s="41">
        <f t="shared" si="478"/>
        <v>0</v>
      </c>
      <c r="AL522" s="42" t="s">
        <v>13</v>
      </c>
      <c r="AQ522" s="41">
        <f t="shared" si="479"/>
        <v>0</v>
      </c>
      <c r="AR522" s="41">
        <f t="shared" si="480"/>
        <v>0</v>
      </c>
      <c r="AS522" s="41">
        <f t="shared" si="481"/>
        <v>0</v>
      </c>
      <c r="AT522" s="44" t="s">
        <v>2441</v>
      </c>
      <c r="AU522" s="44" t="s">
        <v>2481</v>
      </c>
      <c r="AV522" s="31" t="s">
        <v>2486</v>
      </c>
      <c r="AX522" s="41">
        <f t="shared" si="482"/>
        <v>0</v>
      </c>
      <c r="AY522" s="41">
        <f t="shared" si="483"/>
        <v>0</v>
      </c>
      <c r="AZ522" s="41">
        <v>0</v>
      </c>
      <c r="BA522" s="41">
        <f t="shared" si="484"/>
        <v>0</v>
      </c>
      <c r="BC522" s="21">
        <f t="shared" si="485"/>
        <v>0</v>
      </c>
      <c r="BD522" s="21">
        <f t="shared" si="486"/>
        <v>0</v>
      </c>
      <c r="BE522" s="21">
        <f t="shared" si="487"/>
        <v>0</v>
      </c>
      <c r="BF522" s="21" t="s">
        <v>2492</v>
      </c>
      <c r="BG522" s="41">
        <v>7321</v>
      </c>
    </row>
    <row r="523" spans="1:59" x14ac:dyDescent="0.3">
      <c r="A523" s="4" t="s">
        <v>504</v>
      </c>
      <c r="B523" s="13"/>
      <c r="C523" s="13" t="s">
        <v>1146</v>
      </c>
      <c r="D523" s="101" t="s">
        <v>1920</v>
      </c>
      <c r="E523" s="102"/>
      <c r="F523" s="13" t="s">
        <v>2385</v>
      </c>
      <c r="G523" s="21">
        <v>65</v>
      </c>
      <c r="H523" s="21">
        <v>0</v>
      </c>
      <c r="I523" s="21">
        <f t="shared" si="462"/>
        <v>0</v>
      </c>
      <c r="J523" s="21">
        <f t="shared" si="463"/>
        <v>0</v>
      </c>
      <c r="K523" s="21">
        <f t="shared" si="464"/>
        <v>0</v>
      </c>
      <c r="L523" s="21">
        <v>0</v>
      </c>
      <c r="M523" s="21">
        <f t="shared" si="465"/>
        <v>0</v>
      </c>
      <c r="N523" s="35"/>
      <c r="O523" s="39"/>
      <c r="U523" s="41">
        <f t="shared" si="466"/>
        <v>0</v>
      </c>
      <c r="W523" s="41">
        <f t="shared" si="467"/>
        <v>0</v>
      </c>
      <c r="X523" s="41">
        <f t="shared" si="468"/>
        <v>0</v>
      </c>
      <c r="Y523" s="41">
        <f t="shared" si="469"/>
        <v>0</v>
      </c>
      <c r="Z523" s="41">
        <f t="shared" si="470"/>
        <v>0</v>
      </c>
      <c r="AA523" s="41">
        <f t="shared" si="471"/>
        <v>0</v>
      </c>
      <c r="AB523" s="41">
        <f t="shared" si="472"/>
        <v>0</v>
      </c>
      <c r="AC523" s="41">
        <f t="shared" si="473"/>
        <v>0</v>
      </c>
      <c r="AD523" s="31"/>
      <c r="AE523" s="21">
        <f t="shared" si="474"/>
        <v>0</v>
      </c>
      <c r="AF523" s="21">
        <f t="shared" si="475"/>
        <v>0</v>
      </c>
      <c r="AG523" s="21">
        <f t="shared" si="476"/>
        <v>0</v>
      </c>
      <c r="AI523" s="41">
        <v>21</v>
      </c>
      <c r="AJ523" s="41">
        <f t="shared" si="477"/>
        <v>0</v>
      </c>
      <c r="AK523" s="41">
        <f t="shared" si="478"/>
        <v>0</v>
      </c>
      <c r="AL523" s="42" t="s">
        <v>13</v>
      </c>
      <c r="AQ523" s="41">
        <f t="shared" si="479"/>
        <v>0</v>
      </c>
      <c r="AR523" s="41">
        <f t="shared" si="480"/>
        <v>0</v>
      </c>
      <c r="AS523" s="41">
        <f t="shared" si="481"/>
        <v>0</v>
      </c>
      <c r="AT523" s="44" t="s">
        <v>2441</v>
      </c>
      <c r="AU523" s="44" t="s">
        <v>2481</v>
      </c>
      <c r="AV523" s="31" t="s">
        <v>2486</v>
      </c>
      <c r="AX523" s="41">
        <f t="shared" si="482"/>
        <v>0</v>
      </c>
      <c r="AY523" s="41">
        <f t="shared" si="483"/>
        <v>0</v>
      </c>
      <c r="AZ523" s="41">
        <v>0</v>
      </c>
      <c r="BA523" s="41">
        <f t="shared" si="484"/>
        <v>0</v>
      </c>
      <c r="BC523" s="21">
        <f t="shared" si="485"/>
        <v>0</v>
      </c>
      <c r="BD523" s="21">
        <f t="shared" si="486"/>
        <v>0</v>
      </c>
      <c r="BE523" s="21">
        <f t="shared" si="487"/>
        <v>0</v>
      </c>
      <c r="BF523" s="21" t="s">
        <v>2492</v>
      </c>
      <c r="BG523" s="41">
        <v>7321</v>
      </c>
    </row>
    <row r="524" spans="1:59" x14ac:dyDescent="0.3">
      <c r="A524" s="4" t="s">
        <v>505</v>
      </c>
      <c r="B524" s="13"/>
      <c r="C524" s="13" t="s">
        <v>1146</v>
      </c>
      <c r="D524" s="101" t="s">
        <v>1920</v>
      </c>
      <c r="E524" s="102"/>
      <c r="F524" s="13" t="s">
        <v>2385</v>
      </c>
      <c r="G524" s="21">
        <v>10</v>
      </c>
      <c r="H524" s="21">
        <v>0</v>
      </c>
      <c r="I524" s="21">
        <f t="shared" si="462"/>
        <v>0</v>
      </c>
      <c r="J524" s="21">
        <f t="shared" si="463"/>
        <v>0</v>
      </c>
      <c r="K524" s="21">
        <f t="shared" si="464"/>
        <v>0</v>
      </c>
      <c r="L524" s="21">
        <v>0</v>
      </c>
      <c r="M524" s="21">
        <f t="shared" si="465"/>
        <v>0</v>
      </c>
      <c r="N524" s="35"/>
      <c r="O524" s="39"/>
      <c r="U524" s="41">
        <f t="shared" si="466"/>
        <v>0</v>
      </c>
      <c r="W524" s="41">
        <f t="shared" si="467"/>
        <v>0</v>
      </c>
      <c r="X524" s="41">
        <f t="shared" si="468"/>
        <v>0</v>
      </c>
      <c r="Y524" s="41">
        <f t="shared" si="469"/>
        <v>0</v>
      </c>
      <c r="Z524" s="41">
        <f t="shared" si="470"/>
        <v>0</v>
      </c>
      <c r="AA524" s="41">
        <f t="shared" si="471"/>
        <v>0</v>
      </c>
      <c r="AB524" s="41">
        <f t="shared" si="472"/>
        <v>0</v>
      </c>
      <c r="AC524" s="41">
        <f t="shared" si="473"/>
        <v>0</v>
      </c>
      <c r="AD524" s="31"/>
      <c r="AE524" s="21">
        <f t="shared" si="474"/>
        <v>0</v>
      </c>
      <c r="AF524" s="21">
        <f t="shared" si="475"/>
        <v>0</v>
      </c>
      <c r="AG524" s="21">
        <f t="shared" si="476"/>
        <v>0</v>
      </c>
      <c r="AI524" s="41">
        <v>21</v>
      </c>
      <c r="AJ524" s="41">
        <f t="shared" si="477"/>
        <v>0</v>
      </c>
      <c r="AK524" s="41">
        <f t="shared" si="478"/>
        <v>0</v>
      </c>
      <c r="AL524" s="42" t="s">
        <v>13</v>
      </c>
      <c r="AQ524" s="41">
        <f t="shared" si="479"/>
        <v>0</v>
      </c>
      <c r="AR524" s="41">
        <f t="shared" si="480"/>
        <v>0</v>
      </c>
      <c r="AS524" s="41">
        <f t="shared" si="481"/>
        <v>0</v>
      </c>
      <c r="AT524" s="44" t="s">
        <v>2441</v>
      </c>
      <c r="AU524" s="44" t="s">
        <v>2481</v>
      </c>
      <c r="AV524" s="31" t="s">
        <v>2486</v>
      </c>
      <c r="AX524" s="41">
        <f t="shared" si="482"/>
        <v>0</v>
      </c>
      <c r="AY524" s="41">
        <f t="shared" si="483"/>
        <v>0</v>
      </c>
      <c r="AZ524" s="41">
        <v>0</v>
      </c>
      <c r="BA524" s="41">
        <f t="shared" si="484"/>
        <v>0</v>
      </c>
      <c r="BC524" s="21">
        <f t="shared" si="485"/>
        <v>0</v>
      </c>
      <c r="BD524" s="21">
        <f t="shared" si="486"/>
        <v>0</v>
      </c>
      <c r="BE524" s="21">
        <f t="shared" si="487"/>
        <v>0</v>
      </c>
      <c r="BF524" s="21" t="s">
        <v>2492</v>
      </c>
      <c r="BG524" s="41">
        <v>7321</v>
      </c>
    </row>
    <row r="525" spans="1:59" x14ac:dyDescent="0.3">
      <c r="A525" s="4" t="s">
        <v>506</v>
      </c>
      <c r="B525" s="13"/>
      <c r="C525" s="13" t="s">
        <v>1146</v>
      </c>
      <c r="D525" s="101" t="s">
        <v>1921</v>
      </c>
      <c r="E525" s="102"/>
      <c r="F525" s="13" t="s">
        <v>2386</v>
      </c>
      <c r="G525" s="21">
        <v>1</v>
      </c>
      <c r="H525" s="21">
        <v>0</v>
      </c>
      <c r="I525" s="21">
        <f t="shared" si="462"/>
        <v>0</v>
      </c>
      <c r="J525" s="21">
        <f t="shared" si="463"/>
        <v>0</v>
      </c>
      <c r="K525" s="21">
        <f t="shared" si="464"/>
        <v>0</v>
      </c>
      <c r="L525" s="21">
        <v>0</v>
      </c>
      <c r="M525" s="21">
        <f t="shared" si="465"/>
        <v>0</v>
      </c>
      <c r="N525" s="35"/>
      <c r="O525" s="39"/>
      <c r="U525" s="41">
        <f t="shared" si="466"/>
        <v>0</v>
      </c>
      <c r="W525" s="41">
        <f t="shared" si="467"/>
        <v>0</v>
      </c>
      <c r="X525" s="41">
        <f t="shared" si="468"/>
        <v>0</v>
      </c>
      <c r="Y525" s="41">
        <f t="shared" si="469"/>
        <v>0</v>
      </c>
      <c r="Z525" s="41">
        <f t="shared" si="470"/>
        <v>0</v>
      </c>
      <c r="AA525" s="41">
        <f t="shared" si="471"/>
        <v>0</v>
      </c>
      <c r="AB525" s="41">
        <f t="shared" si="472"/>
        <v>0</v>
      </c>
      <c r="AC525" s="41">
        <f t="shared" si="473"/>
        <v>0</v>
      </c>
      <c r="AD525" s="31"/>
      <c r="AE525" s="21">
        <f t="shared" si="474"/>
        <v>0</v>
      </c>
      <c r="AF525" s="21">
        <f t="shared" si="475"/>
        <v>0</v>
      </c>
      <c r="AG525" s="21">
        <f t="shared" si="476"/>
        <v>0</v>
      </c>
      <c r="AI525" s="41">
        <v>21</v>
      </c>
      <c r="AJ525" s="41">
        <f t="shared" si="477"/>
        <v>0</v>
      </c>
      <c r="AK525" s="41">
        <f t="shared" si="478"/>
        <v>0</v>
      </c>
      <c r="AL525" s="42" t="s">
        <v>13</v>
      </c>
      <c r="AQ525" s="41">
        <f t="shared" si="479"/>
        <v>0</v>
      </c>
      <c r="AR525" s="41">
        <f t="shared" si="480"/>
        <v>0</v>
      </c>
      <c r="AS525" s="41">
        <f t="shared" si="481"/>
        <v>0</v>
      </c>
      <c r="AT525" s="44" t="s">
        <v>2441</v>
      </c>
      <c r="AU525" s="44" t="s">
        <v>2481</v>
      </c>
      <c r="AV525" s="31" t="s">
        <v>2486</v>
      </c>
      <c r="AX525" s="41">
        <f t="shared" si="482"/>
        <v>0</v>
      </c>
      <c r="AY525" s="41">
        <f t="shared" si="483"/>
        <v>0</v>
      </c>
      <c r="AZ525" s="41">
        <v>0</v>
      </c>
      <c r="BA525" s="41">
        <f t="shared" si="484"/>
        <v>0</v>
      </c>
      <c r="BC525" s="21">
        <f t="shared" si="485"/>
        <v>0</v>
      </c>
      <c r="BD525" s="21">
        <f t="shared" si="486"/>
        <v>0</v>
      </c>
      <c r="BE525" s="21">
        <f t="shared" si="487"/>
        <v>0</v>
      </c>
      <c r="BF525" s="21" t="s">
        <v>2492</v>
      </c>
      <c r="BG525" s="41">
        <v>7321</v>
      </c>
    </row>
    <row r="526" spans="1:59" x14ac:dyDescent="0.3">
      <c r="A526" s="4" t="s">
        <v>507</v>
      </c>
      <c r="B526" s="13"/>
      <c r="C526" s="13" t="s">
        <v>1146</v>
      </c>
      <c r="D526" s="101" t="s">
        <v>1924</v>
      </c>
      <c r="E526" s="102"/>
      <c r="F526" s="13" t="s">
        <v>2386</v>
      </c>
      <c r="G526" s="21">
        <v>1</v>
      </c>
      <c r="H526" s="21">
        <v>0</v>
      </c>
      <c r="I526" s="21">
        <f t="shared" si="462"/>
        <v>0</v>
      </c>
      <c r="J526" s="21">
        <f t="shared" si="463"/>
        <v>0</v>
      </c>
      <c r="K526" s="21">
        <f t="shared" si="464"/>
        <v>0</v>
      </c>
      <c r="L526" s="21">
        <v>0</v>
      </c>
      <c r="M526" s="21">
        <f t="shared" si="465"/>
        <v>0</v>
      </c>
      <c r="N526" s="35"/>
      <c r="O526" s="39"/>
      <c r="U526" s="41">
        <f t="shared" si="466"/>
        <v>0</v>
      </c>
      <c r="W526" s="41">
        <f t="shared" si="467"/>
        <v>0</v>
      </c>
      <c r="X526" s="41">
        <f t="shared" si="468"/>
        <v>0</v>
      </c>
      <c r="Y526" s="41">
        <f t="shared" si="469"/>
        <v>0</v>
      </c>
      <c r="Z526" s="41">
        <f t="shared" si="470"/>
        <v>0</v>
      </c>
      <c r="AA526" s="41">
        <f t="shared" si="471"/>
        <v>0</v>
      </c>
      <c r="AB526" s="41">
        <f t="shared" si="472"/>
        <v>0</v>
      </c>
      <c r="AC526" s="41">
        <f t="shared" si="473"/>
        <v>0</v>
      </c>
      <c r="AD526" s="31"/>
      <c r="AE526" s="21">
        <f t="shared" si="474"/>
        <v>0</v>
      </c>
      <c r="AF526" s="21">
        <f t="shared" si="475"/>
        <v>0</v>
      </c>
      <c r="AG526" s="21">
        <f t="shared" si="476"/>
        <v>0</v>
      </c>
      <c r="AI526" s="41">
        <v>21</v>
      </c>
      <c r="AJ526" s="41">
        <f t="shared" si="477"/>
        <v>0</v>
      </c>
      <c r="AK526" s="41">
        <f t="shared" si="478"/>
        <v>0</v>
      </c>
      <c r="AL526" s="42" t="s">
        <v>13</v>
      </c>
      <c r="AQ526" s="41">
        <f t="shared" si="479"/>
        <v>0</v>
      </c>
      <c r="AR526" s="41">
        <f t="shared" si="480"/>
        <v>0</v>
      </c>
      <c r="AS526" s="41">
        <f t="shared" si="481"/>
        <v>0</v>
      </c>
      <c r="AT526" s="44" t="s">
        <v>2441</v>
      </c>
      <c r="AU526" s="44" t="s">
        <v>2481</v>
      </c>
      <c r="AV526" s="31" t="s">
        <v>2486</v>
      </c>
      <c r="AX526" s="41">
        <f t="shared" si="482"/>
        <v>0</v>
      </c>
      <c r="AY526" s="41">
        <f t="shared" si="483"/>
        <v>0</v>
      </c>
      <c r="AZ526" s="41">
        <v>0</v>
      </c>
      <c r="BA526" s="41">
        <f t="shared" si="484"/>
        <v>0</v>
      </c>
      <c r="BC526" s="21">
        <f t="shared" si="485"/>
        <v>0</v>
      </c>
      <c r="BD526" s="21">
        <f t="shared" si="486"/>
        <v>0</v>
      </c>
      <c r="BE526" s="21">
        <f t="shared" si="487"/>
        <v>0</v>
      </c>
      <c r="BF526" s="21" t="s">
        <v>2492</v>
      </c>
      <c r="BG526" s="41">
        <v>7321</v>
      </c>
    </row>
    <row r="527" spans="1:59" x14ac:dyDescent="0.3">
      <c r="A527" s="4" t="s">
        <v>508</v>
      </c>
      <c r="B527" s="13"/>
      <c r="C527" s="13" t="s">
        <v>1146</v>
      </c>
      <c r="D527" s="101" t="s">
        <v>1739</v>
      </c>
      <c r="E527" s="102"/>
      <c r="F527" s="13" t="s">
        <v>2386</v>
      </c>
      <c r="G527" s="21">
        <v>1</v>
      </c>
      <c r="H527" s="21">
        <v>0</v>
      </c>
      <c r="I527" s="21">
        <f t="shared" si="462"/>
        <v>0</v>
      </c>
      <c r="J527" s="21">
        <f t="shared" si="463"/>
        <v>0</v>
      </c>
      <c r="K527" s="21">
        <f t="shared" si="464"/>
        <v>0</v>
      </c>
      <c r="L527" s="21">
        <v>0</v>
      </c>
      <c r="M527" s="21">
        <f t="shared" si="465"/>
        <v>0</v>
      </c>
      <c r="N527" s="35"/>
      <c r="O527" s="39"/>
      <c r="U527" s="41">
        <f t="shared" si="466"/>
        <v>0</v>
      </c>
      <c r="W527" s="41">
        <f t="shared" si="467"/>
        <v>0</v>
      </c>
      <c r="X527" s="41">
        <f t="shared" si="468"/>
        <v>0</v>
      </c>
      <c r="Y527" s="41">
        <f t="shared" si="469"/>
        <v>0</v>
      </c>
      <c r="Z527" s="41">
        <f t="shared" si="470"/>
        <v>0</v>
      </c>
      <c r="AA527" s="41">
        <f t="shared" si="471"/>
        <v>0</v>
      </c>
      <c r="AB527" s="41">
        <f t="shared" si="472"/>
        <v>0</v>
      </c>
      <c r="AC527" s="41">
        <f t="shared" si="473"/>
        <v>0</v>
      </c>
      <c r="AD527" s="31"/>
      <c r="AE527" s="21">
        <f t="shared" si="474"/>
        <v>0</v>
      </c>
      <c r="AF527" s="21">
        <f t="shared" si="475"/>
        <v>0</v>
      </c>
      <c r="AG527" s="21">
        <f t="shared" si="476"/>
        <v>0</v>
      </c>
      <c r="AI527" s="41">
        <v>21</v>
      </c>
      <c r="AJ527" s="41">
        <f t="shared" si="477"/>
        <v>0</v>
      </c>
      <c r="AK527" s="41">
        <f t="shared" si="478"/>
        <v>0</v>
      </c>
      <c r="AL527" s="42" t="s">
        <v>13</v>
      </c>
      <c r="AQ527" s="41">
        <f t="shared" si="479"/>
        <v>0</v>
      </c>
      <c r="AR527" s="41">
        <f t="shared" si="480"/>
        <v>0</v>
      </c>
      <c r="AS527" s="41">
        <f t="shared" si="481"/>
        <v>0</v>
      </c>
      <c r="AT527" s="44" t="s">
        <v>2441</v>
      </c>
      <c r="AU527" s="44" t="s">
        <v>2481</v>
      </c>
      <c r="AV527" s="31" t="s">
        <v>2486</v>
      </c>
      <c r="AX527" s="41">
        <f t="shared" si="482"/>
        <v>0</v>
      </c>
      <c r="AY527" s="41">
        <f t="shared" si="483"/>
        <v>0</v>
      </c>
      <c r="AZ527" s="41">
        <v>0</v>
      </c>
      <c r="BA527" s="41">
        <f t="shared" si="484"/>
        <v>0</v>
      </c>
      <c r="BC527" s="21">
        <f t="shared" si="485"/>
        <v>0</v>
      </c>
      <c r="BD527" s="21">
        <f t="shared" si="486"/>
        <v>0</v>
      </c>
      <c r="BE527" s="21">
        <f t="shared" si="487"/>
        <v>0</v>
      </c>
      <c r="BF527" s="21" t="s">
        <v>2492</v>
      </c>
      <c r="BG527" s="41">
        <v>7321</v>
      </c>
    </row>
    <row r="528" spans="1:59" x14ac:dyDescent="0.3">
      <c r="A528" s="4" t="s">
        <v>509</v>
      </c>
      <c r="B528" s="13"/>
      <c r="C528" s="13" t="s">
        <v>1146</v>
      </c>
      <c r="D528" s="101" t="s">
        <v>1740</v>
      </c>
      <c r="E528" s="102"/>
      <c r="F528" s="13" t="s">
        <v>2386</v>
      </c>
      <c r="G528" s="21">
        <v>1</v>
      </c>
      <c r="H528" s="21">
        <v>0</v>
      </c>
      <c r="I528" s="21">
        <f t="shared" si="462"/>
        <v>0</v>
      </c>
      <c r="J528" s="21">
        <f t="shared" si="463"/>
        <v>0</v>
      </c>
      <c r="K528" s="21">
        <f t="shared" si="464"/>
        <v>0</v>
      </c>
      <c r="L528" s="21">
        <v>0</v>
      </c>
      <c r="M528" s="21">
        <f t="shared" si="465"/>
        <v>0</v>
      </c>
      <c r="N528" s="35"/>
      <c r="O528" s="39"/>
      <c r="U528" s="41">
        <f t="shared" si="466"/>
        <v>0</v>
      </c>
      <c r="W528" s="41">
        <f t="shared" si="467"/>
        <v>0</v>
      </c>
      <c r="X528" s="41">
        <f t="shared" si="468"/>
        <v>0</v>
      </c>
      <c r="Y528" s="41">
        <f t="shared" si="469"/>
        <v>0</v>
      </c>
      <c r="Z528" s="41">
        <f t="shared" si="470"/>
        <v>0</v>
      </c>
      <c r="AA528" s="41">
        <f t="shared" si="471"/>
        <v>0</v>
      </c>
      <c r="AB528" s="41">
        <f t="shared" si="472"/>
        <v>0</v>
      </c>
      <c r="AC528" s="41">
        <f t="shared" si="473"/>
        <v>0</v>
      </c>
      <c r="AD528" s="31"/>
      <c r="AE528" s="21">
        <f t="shared" si="474"/>
        <v>0</v>
      </c>
      <c r="AF528" s="21">
        <f t="shared" si="475"/>
        <v>0</v>
      </c>
      <c r="AG528" s="21">
        <f t="shared" si="476"/>
        <v>0</v>
      </c>
      <c r="AI528" s="41">
        <v>21</v>
      </c>
      <c r="AJ528" s="41">
        <f t="shared" si="477"/>
        <v>0</v>
      </c>
      <c r="AK528" s="41">
        <f t="shared" si="478"/>
        <v>0</v>
      </c>
      <c r="AL528" s="42" t="s">
        <v>13</v>
      </c>
      <c r="AQ528" s="41">
        <f t="shared" si="479"/>
        <v>0</v>
      </c>
      <c r="AR528" s="41">
        <f t="shared" si="480"/>
        <v>0</v>
      </c>
      <c r="AS528" s="41">
        <f t="shared" si="481"/>
        <v>0</v>
      </c>
      <c r="AT528" s="44" t="s">
        <v>2441</v>
      </c>
      <c r="AU528" s="44" t="s">
        <v>2481</v>
      </c>
      <c r="AV528" s="31" t="s">
        <v>2486</v>
      </c>
      <c r="AX528" s="41">
        <f t="shared" si="482"/>
        <v>0</v>
      </c>
      <c r="AY528" s="41">
        <f t="shared" si="483"/>
        <v>0</v>
      </c>
      <c r="AZ528" s="41">
        <v>0</v>
      </c>
      <c r="BA528" s="41">
        <f t="shared" si="484"/>
        <v>0</v>
      </c>
      <c r="BC528" s="21">
        <f t="shared" si="485"/>
        <v>0</v>
      </c>
      <c r="BD528" s="21">
        <f t="shared" si="486"/>
        <v>0</v>
      </c>
      <c r="BE528" s="21">
        <f t="shared" si="487"/>
        <v>0</v>
      </c>
      <c r="BF528" s="21" t="s">
        <v>2492</v>
      </c>
      <c r="BG528" s="41">
        <v>7321</v>
      </c>
    </row>
    <row r="529" spans="1:59" x14ac:dyDescent="0.3">
      <c r="A529" s="4" t="s">
        <v>510</v>
      </c>
      <c r="B529" s="13"/>
      <c r="C529" s="13" t="s">
        <v>1146</v>
      </c>
      <c r="D529" s="101" t="s">
        <v>1741</v>
      </c>
      <c r="E529" s="102"/>
      <c r="F529" s="13" t="s">
        <v>2386</v>
      </c>
      <c r="G529" s="21">
        <v>1</v>
      </c>
      <c r="H529" s="21">
        <v>0</v>
      </c>
      <c r="I529" s="21">
        <f t="shared" si="462"/>
        <v>0</v>
      </c>
      <c r="J529" s="21">
        <f t="shared" si="463"/>
        <v>0</v>
      </c>
      <c r="K529" s="21">
        <f t="shared" si="464"/>
        <v>0</v>
      </c>
      <c r="L529" s="21">
        <v>0</v>
      </c>
      <c r="M529" s="21">
        <f t="shared" si="465"/>
        <v>0</v>
      </c>
      <c r="N529" s="35"/>
      <c r="O529" s="39"/>
      <c r="U529" s="41">
        <f t="shared" si="466"/>
        <v>0</v>
      </c>
      <c r="W529" s="41">
        <f t="shared" si="467"/>
        <v>0</v>
      </c>
      <c r="X529" s="41">
        <f t="shared" si="468"/>
        <v>0</v>
      </c>
      <c r="Y529" s="41">
        <f t="shared" si="469"/>
        <v>0</v>
      </c>
      <c r="Z529" s="41">
        <f t="shared" si="470"/>
        <v>0</v>
      </c>
      <c r="AA529" s="41">
        <f t="shared" si="471"/>
        <v>0</v>
      </c>
      <c r="AB529" s="41">
        <f t="shared" si="472"/>
        <v>0</v>
      </c>
      <c r="AC529" s="41">
        <f t="shared" si="473"/>
        <v>0</v>
      </c>
      <c r="AD529" s="31"/>
      <c r="AE529" s="21">
        <f t="shared" si="474"/>
        <v>0</v>
      </c>
      <c r="AF529" s="21">
        <f t="shared" si="475"/>
        <v>0</v>
      </c>
      <c r="AG529" s="21">
        <f t="shared" si="476"/>
        <v>0</v>
      </c>
      <c r="AI529" s="41">
        <v>21</v>
      </c>
      <c r="AJ529" s="41">
        <f t="shared" si="477"/>
        <v>0</v>
      </c>
      <c r="AK529" s="41">
        <f t="shared" si="478"/>
        <v>0</v>
      </c>
      <c r="AL529" s="42" t="s">
        <v>13</v>
      </c>
      <c r="AQ529" s="41">
        <f t="shared" si="479"/>
        <v>0</v>
      </c>
      <c r="AR529" s="41">
        <f t="shared" si="480"/>
        <v>0</v>
      </c>
      <c r="AS529" s="41">
        <f t="shared" si="481"/>
        <v>0</v>
      </c>
      <c r="AT529" s="44" t="s">
        <v>2441</v>
      </c>
      <c r="AU529" s="44" t="s">
        <v>2481</v>
      </c>
      <c r="AV529" s="31" t="s">
        <v>2486</v>
      </c>
      <c r="AX529" s="41">
        <f t="shared" si="482"/>
        <v>0</v>
      </c>
      <c r="AY529" s="41">
        <f t="shared" si="483"/>
        <v>0</v>
      </c>
      <c r="AZ529" s="41">
        <v>0</v>
      </c>
      <c r="BA529" s="41">
        <f t="shared" si="484"/>
        <v>0</v>
      </c>
      <c r="BC529" s="21">
        <f t="shared" si="485"/>
        <v>0</v>
      </c>
      <c r="BD529" s="21">
        <f t="shared" si="486"/>
        <v>0</v>
      </c>
      <c r="BE529" s="21">
        <f t="shared" si="487"/>
        <v>0</v>
      </c>
      <c r="BF529" s="21" t="s">
        <v>2492</v>
      </c>
      <c r="BG529" s="41">
        <v>7321</v>
      </c>
    </row>
    <row r="530" spans="1:59" x14ac:dyDescent="0.3">
      <c r="A530" s="4" t="s">
        <v>511</v>
      </c>
      <c r="B530" s="13"/>
      <c r="C530" s="13" t="s">
        <v>1146</v>
      </c>
      <c r="D530" s="101" t="s">
        <v>1742</v>
      </c>
      <c r="E530" s="102"/>
      <c r="F530" s="13" t="s">
        <v>2386</v>
      </c>
      <c r="G530" s="21">
        <v>1</v>
      </c>
      <c r="H530" s="21">
        <v>0</v>
      </c>
      <c r="I530" s="21">
        <f t="shared" si="462"/>
        <v>0</v>
      </c>
      <c r="J530" s="21">
        <f t="shared" si="463"/>
        <v>0</v>
      </c>
      <c r="K530" s="21">
        <f t="shared" si="464"/>
        <v>0</v>
      </c>
      <c r="L530" s="21">
        <v>0</v>
      </c>
      <c r="M530" s="21">
        <f t="shared" si="465"/>
        <v>0</v>
      </c>
      <c r="N530" s="35"/>
      <c r="O530" s="39"/>
      <c r="U530" s="41">
        <f t="shared" si="466"/>
        <v>0</v>
      </c>
      <c r="W530" s="41">
        <f t="shared" si="467"/>
        <v>0</v>
      </c>
      <c r="X530" s="41">
        <f t="shared" si="468"/>
        <v>0</v>
      </c>
      <c r="Y530" s="41">
        <f t="shared" si="469"/>
        <v>0</v>
      </c>
      <c r="Z530" s="41">
        <f t="shared" si="470"/>
        <v>0</v>
      </c>
      <c r="AA530" s="41">
        <f t="shared" si="471"/>
        <v>0</v>
      </c>
      <c r="AB530" s="41">
        <f t="shared" si="472"/>
        <v>0</v>
      </c>
      <c r="AC530" s="41">
        <f t="shared" si="473"/>
        <v>0</v>
      </c>
      <c r="AD530" s="31"/>
      <c r="AE530" s="21">
        <f t="shared" si="474"/>
        <v>0</v>
      </c>
      <c r="AF530" s="21">
        <f t="shared" si="475"/>
        <v>0</v>
      </c>
      <c r="AG530" s="21">
        <f t="shared" si="476"/>
        <v>0</v>
      </c>
      <c r="AI530" s="41">
        <v>21</v>
      </c>
      <c r="AJ530" s="41">
        <f t="shared" si="477"/>
        <v>0</v>
      </c>
      <c r="AK530" s="41">
        <f t="shared" si="478"/>
        <v>0</v>
      </c>
      <c r="AL530" s="42" t="s">
        <v>13</v>
      </c>
      <c r="AQ530" s="41">
        <f t="shared" si="479"/>
        <v>0</v>
      </c>
      <c r="AR530" s="41">
        <f t="shared" si="480"/>
        <v>0</v>
      </c>
      <c r="AS530" s="41">
        <f t="shared" si="481"/>
        <v>0</v>
      </c>
      <c r="AT530" s="44" t="s">
        <v>2441</v>
      </c>
      <c r="AU530" s="44" t="s">
        <v>2481</v>
      </c>
      <c r="AV530" s="31" t="s">
        <v>2486</v>
      </c>
      <c r="AX530" s="41">
        <f t="shared" si="482"/>
        <v>0</v>
      </c>
      <c r="AY530" s="41">
        <f t="shared" si="483"/>
        <v>0</v>
      </c>
      <c r="AZ530" s="41">
        <v>0</v>
      </c>
      <c r="BA530" s="41">
        <f t="shared" si="484"/>
        <v>0</v>
      </c>
      <c r="BC530" s="21">
        <f t="shared" si="485"/>
        <v>0</v>
      </c>
      <c r="BD530" s="21">
        <f t="shared" si="486"/>
        <v>0</v>
      </c>
      <c r="BE530" s="21">
        <f t="shared" si="487"/>
        <v>0</v>
      </c>
      <c r="BF530" s="21" t="s">
        <v>2492</v>
      </c>
      <c r="BG530" s="41">
        <v>7321</v>
      </c>
    </row>
    <row r="531" spans="1:59" x14ac:dyDescent="0.3">
      <c r="A531" s="4" t="s">
        <v>512</v>
      </c>
      <c r="B531" s="13"/>
      <c r="C531" s="13" t="s">
        <v>1146</v>
      </c>
      <c r="D531" s="101" t="s">
        <v>1743</v>
      </c>
      <c r="E531" s="102"/>
      <c r="F531" s="13" t="s">
        <v>2386</v>
      </c>
      <c r="G531" s="21">
        <v>1</v>
      </c>
      <c r="H531" s="21">
        <v>0</v>
      </c>
      <c r="I531" s="21">
        <f t="shared" si="462"/>
        <v>0</v>
      </c>
      <c r="J531" s="21">
        <f t="shared" si="463"/>
        <v>0</v>
      </c>
      <c r="K531" s="21">
        <f t="shared" si="464"/>
        <v>0</v>
      </c>
      <c r="L531" s="21">
        <v>0</v>
      </c>
      <c r="M531" s="21">
        <f t="shared" si="465"/>
        <v>0</v>
      </c>
      <c r="N531" s="35"/>
      <c r="O531" s="39"/>
      <c r="U531" s="41">
        <f t="shared" si="466"/>
        <v>0</v>
      </c>
      <c r="W531" s="41">
        <f t="shared" si="467"/>
        <v>0</v>
      </c>
      <c r="X531" s="41">
        <f t="shared" si="468"/>
        <v>0</v>
      </c>
      <c r="Y531" s="41">
        <f t="shared" si="469"/>
        <v>0</v>
      </c>
      <c r="Z531" s="41">
        <f t="shared" si="470"/>
        <v>0</v>
      </c>
      <c r="AA531" s="41">
        <f t="shared" si="471"/>
        <v>0</v>
      </c>
      <c r="AB531" s="41">
        <f t="shared" si="472"/>
        <v>0</v>
      </c>
      <c r="AC531" s="41">
        <f t="shared" si="473"/>
        <v>0</v>
      </c>
      <c r="AD531" s="31"/>
      <c r="AE531" s="21">
        <f t="shared" si="474"/>
        <v>0</v>
      </c>
      <c r="AF531" s="21">
        <f t="shared" si="475"/>
        <v>0</v>
      </c>
      <c r="AG531" s="21">
        <f t="shared" si="476"/>
        <v>0</v>
      </c>
      <c r="AI531" s="41">
        <v>21</v>
      </c>
      <c r="AJ531" s="41">
        <f t="shared" si="477"/>
        <v>0</v>
      </c>
      <c r="AK531" s="41">
        <f t="shared" si="478"/>
        <v>0</v>
      </c>
      <c r="AL531" s="42" t="s">
        <v>13</v>
      </c>
      <c r="AQ531" s="41">
        <f t="shared" si="479"/>
        <v>0</v>
      </c>
      <c r="AR531" s="41">
        <f t="shared" si="480"/>
        <v>0</v>
      </c>
      <c r="AS531" s="41">
        <f t="shared" si="481"/>
        <v>0</v>
      </c>
      <c r="AT531" s="44" t="s">
        <v>2441</v>
      </c>
      <c r="AU531" s="44" t="s">
        <v>2481</v>
      </c>
      <c r="AV531" s="31" t="s">
        <v>2486</v>
      </c>
      <c r="AX531" s="41">
        <f t="shared" si="482"/>
        <v>0</v>
      </c>
      <c r="AY531" s="41">
        <f t="shared" si="483"/>
        <v>0</v>
      </c>
      <c r="AZ531" s="41">
        <v>0</v>
      </c>
      <c r="BA531" s="41">
        <f t="shared" si="484"/>
        <v>0</v>
      </c>
      <c r="BC531" s="21">
        <f t="shared" si="485"/>
        <v>0</v>
      </c>
      <c r="BD531" s="21">
        <f t="shared" si="486"/>
        <v>0</v>
      </c>
      <c r="BE531" s="21">
        <f t="shared" si="487"/>
        <v>0</v>
      </c>
      <c r="BF531" s="21" t="s">
        <v>2492</v>
      </c>
      <c r="BG531" s="41">
        <v>7321</v>
      </c>
    </row>
    <row r="532" spans="1:59" x14ac:dyDescent="0.3">
      <c r="A532" s="4" t="s">
        <v>513</v>
      </c>
      <c r="B532" s="13"/>
      <c r="C532" s="13" t="s">
        <v>1146</v>
      </c>
      <c r="D532" s="101" t="s">
        <v>1744</v>
      </c>
      <c r="E532" s="102"/>
      <c r="F532" s="13" t="s">
        <v>2386</v>
      </c>
      <c r="G532" s="21">
        <v>1</v>
      </c>
      <c r="H532" s="21">
        <v>0</v>
      </c>
      <c r="I532" s="21">
        <f t="shared" si="462"/>
        <v>0</v>
      </c>
      <c r="J532" s="21">
        <f t="shared" si="463"/>
        <v>0</v>
      </c>
      <c r="K532" s="21">
        <f t="shared" si="464"/>
        <v>0</v>
      </c>
      <c r="L532" s="21">
        <v>0</v>
      </c>
      <c r="M532" s="21">
        <f t="shared" si="465"/>
        <v>0</v>
      </c>
      <c r="N532" s="35"/>
      <c r="O532" s="39"/>
      <c r="U532" s="41">
        <f t="shared" si="466"/>
        <v>0</v>
      </c>
      <c r="W532" s="41">
        <f t="shared" si="467"/>
        <v>0</v>
      </c>
      <c r="X532" s="41">
        <f t="shared" si="468"/>
        <v>0</v>
      </c>
      <c r="Y532" s="41">
        <f t="shared" si="469"/>
        <v>0</v>
      </c>
      <c r="Z532" s="41">
        <f t="shared" si="470"/>
        <v>0</v>
      </c>
      <c r="AA532" s="41">
        <f t="shared" si="471"/>
        <v>0</v>
      </c>
      <c r="AB532" s="41">
        <f t="shared" si="472"/>
        <v>0</v>
      </c>
      <c r="AC532" s="41">
        <f t="shared" si="473"/>
        <v>0</v>
      </c>
      <c r="AD532" s="31"/>
      <c r="AE532" s="21">
        <f t="shared" si="474"/>
        <v>0</v>
      </c>
      <c r="AF532" s="21">
        <f t="shared" si="475"/>
        <v>0</v>
      </c>
      <c r="AG532" s="21">
        <f t="shared" si="476"/>
        <v>0</v>
      </c>
      <c r="AI532" s="41">
        <v>21</v>
      </c>
      <c r="AJ532" s="41">
        <f t="shared" si="477"/>
        <v>0</v>
      </c>
      <c r="AK532" s="41">
        <f t="shared" si="478"/>
        <v>0</v>
      </c>
      <c r="AL532" s="42" t="s">
        <v>13</v>
      </c>
      <c r="AQ532" s="41">
        <f t="shared" si="479"/>
        <v>0</v>
      </c>
      <c r="AR532" s="41">
        <f t="shared" si="480"/>
        <v>0</v>
      </c>
      <c r="AS532" s="41">
        <f t="shared" si="481"/>
        <v>0</v>
      </c>
      <c r="AT532" s="44" t="s">
        <v>2441</v>
      </c>
      <c r="AU532" s="44" t="s">
        <v>2481</v>
      </c>
      <c r="AV532" s="31" t="s">
        <v>2486</v>
      </c>
      <c r="AX532" s="41">
        <f t="shared" si="482"/>
        <v>0</v>
      </c>
      <c r="AY532" s="41">
        <f t="shared" si="483"/>
        <v>0</v>
      </c>
      <c r="AZ532" s="41">
        <v>0</v>
      </c>
      <c r="BA532" s="41">
        <f t="shared" si="484"/>
        <v>0</v>
      </c>
      <c r="BC532" s="21">
        <f t="shared" si="485"/>
        <v>0</v>
      </c>
      <c r="BD532" s="21">
        <f t="shared" si="486"/>
        <v>0</v>
      </c>
      <c r="BE532" s="21">
        <f t="shared" si="487"/>
        <v>0</v>
      </c>
      <c r="BF532" s="21" t="s">
        <v>2492</v>
      </c>
      <c r="BG532" s="41">
        <v>7321</v>
      </c>
    </row>
    <row r="533" spans="1:59" x14ac:dyDescent="0.3">
      <c r="A533" s="4" t="s">
        <v>514</v>
      </c>
      <c r="B533" s="13"/>
      <c r="C533" s="13" t="s">
        <v>1146</v>
      </c>
      <c r="D533" s="101" t="s">
        <v>1745</v>
      </c>
      <c r="E533" s="102"/>
      <c r="F533" s="13" t="s">
        <v>2386</v>
      </c>
      <c r="G533" s="21">
        <v>1</v>
      </c>
      <c r="H533" s="21">
        <v>0</v>
      </c>
      <c r="I533" s="21">
        <f t="shared" si="462"/>
        <v>0</v>
      </c>
      <c r="J533" s="21">
        <f t="shared" si="463"/>
        <v>0</v>
      </c>
      <c r="K533" s="21">
        <f t="shared" si="464"/>
        <v>0</v>
      </c>
      <c r="L533" s="21">
        <v>0</v>
      </c>
      <c r="M533" s="21">
        <f t="shared" si="465"/>
        <v>0</v>
      </c>
      <c r="N533" s="35"/>
      <c r="O533" s="39"/>
      <c r="U533" s="41">
        <f t="shared" si="466"/>
        <v>0</v>
      </c>
      <c r="W533" s="41">
        <f t="shared" si="467"/>
        <v>0</v>
      </c>
      <c r="X533" s="41">
        <f t="shared" si="468"/>
        <v>0</v>
      </c>
      <c r="Y533" s="41">
        <f t="shared" si="469"/>
        <v>0</v>
      </c>
      <c r="Z533" s="41">
        <f t="shared" si="470"/>
        <v>0</v>
      </c>
      <c r="AA533" s="41">
        <f t="shared" si="471"/>
        <v>0</v>
      </c>
      <c r="AB533" s="41">
        <f t="shared" si="472"/>
        <v>0</v>
      </c>
      <c r="AC533" s="41">
        <f t="shared" si="473"/>
        <v>0</v>
      </c>
      <c r="AD533" s="31"/>
      <c r="AE533" s="21">
        <f t="shared" si="474"/>
        <v>0</v>
      </c>
      <c r="AF533" s="21">
        <f t="shared" si="475"/>
        <v>0</v>
      </c>
      <c r="AG533" s="21">
        <f t="shared" si="476"/>
        <v>0</v>
      </c>
      <c r="AI533" s="41">
        <v>21</v>
      </c>
      <c r="AJ533" s="41">
        <f t="shared" si="477"/>
        <v>0</v>
      </c>
      <c r="AK533" s="41">
        <f t="shared" si="478"/>
        <v>0</v>
      </c>
      <c r="AL533" s="42" t="s">
        <v>13</v>
      </c>
      <c r="AQ533" s="41">
        <f t="shared" si="479"/>
        <v>0</v>
      </c>
      <c r="AR533" s="41">
        <f t="shared" si="480"/>
        <v>0</v>
      </c>
      <c r="AS533" s="41">
        <f t="shared" si="481"/>
        <v>0</v>
      </c>
      <c r="AT533" s="44" t="s">
        <v>2441</v>
      </c>
      <c r="AU533" s="44" t="s">
        <v>2481</v>
      </c>
      <c r="AV533" s="31" t="s">
        <v>2486</v>
      </c>
      <c r="AX533" s="41">
        <f t="shared" si="482"/>
        <v>0</v>
      </c>
      <c r="AY533" s="41">
        <f t="shared" si="483"/>
        <v>0</v>
      </c>
      <c r="AZ533" s="41">
        <v>0</v>
      </c>
      <c r="BA533" s="41">
        <f t="shared" si="484"/>
        <v>0</v>
      </c>
      <c r="BC533" s="21">
        <f t="shared" si="485"/>
        <v>0</v>
      </c>
      <c r="BD533" s="21">
        <f t="shared" si="486"/>
        <v>0</v>
      </c>
      <c r="BE533" s="21">
        <f t="shared" si="487"/>
        <v>0</v>
      </c>
      <c r="BF533" s="21" t="s">
        <v>2492</v>
      </c>
      <c r="BG533" s="41">
        <v>7321</v>
      </c>
    </row>
    <row r="534" spans="1:59" x14ac:dyDescent="0.3">
      <c r="A534" s="4" t="s">
        <v>515</v>
      </c>
      <c r="B534" s="13"/>
      <c r="C534" s="13" t="s">
        <v>1146</v>
      </c>
      <c r="D534" s="101" t="s">
        <v>1746</v>
      </c>
      <c r="E534" s="102"/>
      <c r="F534" s="13" t="s">
        <v>2386</v>
      </c>
      <c r="G534" s="21">
        <v>1</v>
      </c>
      <c r="H534" s="21">
        <v>0</v>
      </c>
      <c r="I534" s="21">
        <f t="shared" si="462"/>
        <v>0</v>
      </c>
      <c r="J534" s="21">
        <f t="shared" si="463"/>
        <v>0</v>
      </c>
      <c r="K534" s="21">
        <f t="shared" si="464"/>
        <v>0</v>
      </c>
      <c r="L534" s="21">
        <v>0</v>
      </c>
      <c r="M534" s="21">
        <f t="shared" si="465"/>
        <v>0</v>
      </c>
      <c r="N534" s="35"/>
      <c r="O534" s="39"/>
      <c r="U534" s="41">
        <f t="shared" si="466"/>
        <v>0</v>
      </c>
      <c r="W534" s="41">
        <f t="shared" si="467"/>
        <v>0</v>
      </c>
      <c r="X534" s="41">
        <f t="shared" si="468"/>
        <v>0</v>
      </c>
      <c r="Y534" s="41">
        <f t="shared" si="469"/>
        <v>0</v>
      </c>
      <c r="Z534" s="41">
        <f t="shared" si="470"/>
        <v>0</v>
      </c>
      <c r="AA534" s="41">
        <f t="shared" si="471"/>
        <v>0</v>
      </c>
      <c r="AB534" s="41">
        <f t="shared" si="472"/>
        <v>0</v>
      </c>
      <c r="AC534" s="41">
        <f t="shared" si="473"/>
        <v>0</v>
      </c>
      <c r="AD534" s="31"/>
      <c r="AE534" s="21">
        <f t="shared" si="474"/>
        <v>0</v>
      </c>
      <c r="AF534" s="21">
        <f t="shared" si="475"/>
        <v>0</v>
      </c>
      <c r="AG534" s="21">
        <f t="shared" si="476"/>
        <v>0</v>
      </c>
      <c r="AI534" s="41">
        <v>21</v>
      </c>
      <c r="AJ534" s="41">
        <f t="shared" si="477"/>
        <v>0</v>
      </c>
      <c r="AK534" s="41">
        <f t="shared" si="478"/>
        <v>0</v>
      </c>
      <c r="AL534" s="42" t="s">
        <v>13</v>
      </c>
      <c r="AQ534" s="41">
        <f t="shared" si="479"/>
        <v>0</v>
      </c>
      <c r="AR534" s="41">
        <f t="shared" si="480"/>
        <v>0</v>
      </c>
      <c r="AS534" s="41">
        <f t="shared" si="481"/>
        <v>0</v>
      </c>
      <c r="AT534" s="44" t="s">
        <v>2441</v>
      </c>
      <c r="AU534" s="44" t="s">
        <v>2481</v>
      </c>
      <c r="AV534" s="31" t="s">
        <v>2486</v>
      </c>
      <c r="AX534" s="41">
        <f t="shared" si="482"/>
        <v>0</v>
      </c>
      <c r="AY534" s="41">
        <f t="shared" si="483"/>
        <v>0</v>
      </c>
      <c r="AZ534" s="41">
        <v>0</v>
      </c>
      <c r="BA534" s="41">
        <f t="shared" si="484"/>
        <v>0</v>
      </c>
      <c r="BC534" s="21">
        <f t="shared" si="485"/>
        <v>0</v>
      </c>
      <c r="BD534" s="21">
        <f t="shared" si="486"/>
        <v>0</v>
      </c>
      <c r="BE534" s="21">
        <f t="shared" si="487"/>
        <v>0</v>
      </c>
      <c r="BF534" s="21" t="s">
        <v>2492</v>
      </c>
      <c r="BG534" s="41">
        <v>7321</v>
      </c>
    </row>
    <row r="535" spans="1:59" x14ac:dyDescent="0.3">
      <c r="A535" s="4" t="s">
        <v>516</v>
      </c>
      <c r="B535" s="13"/>
      <c r="C535" s="13" t="s">
        <v>1146</v>
      </c>
      <c r="D535" s="101" t="s">
        <v>1747</v>
      </c>
      <c r="E535" s="102"/>
      <c r="F535" s="13" t="s">
        <v>2386</v>
      </c>
      <c r="G535" s="21">
        <v>1</v>
      </c>
      <c r="H535" s="21">
        <v>0</v>
      </c>
      <c r="I535" s="21">
        <f t="shared" si="462"/>
        <v>0</v>
      </c>
      <c r="J535" s="21">
        <f t="shared" si="463"/>
        <v>0</v>
      </c>
      <c r="K535" s="21">
        <f t="shared" si="464"/>
        <v>0</v>
      </c>
      <c r="L535" s="21">
        <v>0</v>
      </c>
      <c r="M535" s="21">
        <f t="shared" si="465"/>
        <v>0</v>
      </c>
      <c r="N535" s="35"/>
      <c r="O535" s="39"/>
      <c r="U535" s="41">
        <f t="shared" si="466"/>
        <v>0</v>
      </c>
      <c r="W535" s="41">
        <f t="shared" si="467"/>
        <v>0</v>
      </c>
      <c r="X535" s="41">
        <f t="shared" si="468"/>
        <v>0</v>
      </c>
      <c r="Y535" s="41">
        <f t="shared" si="469"/>
        <v>0</v>
      </c>
      <c r="Z535" s="41">
        <f t="shared" si="470"/>
        <v>0</v>
      </c>
      <c r="AA535" s="41">
        <f t="shared" si="471"/>
        <v>0</v>
      </c>
      <c r="AB535" s="41">
        <f t="shared" si="472"/>
        <v>0</v>
      </c>
      <c r="AC535" s="41">
        <f t="shared" si="473"/>
        <v>0</v>
      </c>
      <c r="AD535" s="31"/>
      <c r="AE535" s="21">
        <f t="shared" si="474"/>
        <v>0</v>
      </c>
      <c r="AF535" s="21">
        <f t="shared" si="475"/>
        <v>0</v>
      </c>
      <c r="AG535" s="21">
        <f t="shared" si="476"/>
        <v>0</v>
      </c>
      <c r="AI535" s="41">
        <v>21</v>
      </c>
      <c r="AJ535" s="41">
        <f t="shared" si="477"/>
        <v>0</v>
      </c>
      <c r="AK535" s="41">
        <f t="shared" si="478"/>
        <v>0</v>
      </c>
      <c r="AL535" s="42" t="s">
        <v>13</v>
      </c>
      <c r="AQ535" s="41">
        <f t="shared" si="479"/>
        <v>0</v>
      </c>
      <c r="AR535" s="41">
        <f t="shared" si="480"/>
        <v>0</v>
      </c>
      <c r="AS535" s="41">
        <f t="shared" si="481"/>
        <v>0</v>
      </c>
      <c r="AT535" s="44" t="s">
        <v>2441</v>
      </c>
      <c r="AU535" s="44" t="s">
        <v>2481</v>
      </c>
      <c r="AV535" s="31" t="s">
        <v>2486</v>
      </c>
      <c r="AX535" s="41">
        <f t="shared" si="482"/>
        <v>0</v>
      </c>
      <c r="AY535" s="41">
        <f t="shared" si="483"/>
        <v>0</v>
      </c>
      <c r="AZ535" s="41">
        <v>0</v>
      </c>
      <c r="BA535" s="41">
        <f t="shared" si="484"/>
        <v>0</v>
      </c>
      <c r="BC535" s="21">
        <f t="shared" si="485"/>
        <v>0</v>
      </c>
      <c r="BD535" s="21">
        <f t="shared" si="486"/>
        <v>0</v>
      </c>
      <c r="BE535" s="21">
        <f t="shared" si="487"/>
        <v>0</v>
      </c>
      <c r="BF535" s="21" t="s">
        <v>2492</v>
      </c>
      <c r="BG535" s="41">
        <v>7321</v>
      </c>
    </row>
    <row r="536" spans="1:59" x14ac:dyDescent="0.3">
      <c r="A536" s="4" t="s">
        <v>517</v>
      </c>
      <c r="B536" s="13"/>
      <c r="C536" s="13" t="s">
        <v>1146</v>
      </c>
      <c r="D536" s="101" t="s">
        <v>1880</v>
      </c>
      <c r="E536" s="102"/>
      <c r="F536" s="13" t="s">
        <v>2384</v>
      </c>
      <c r="G536" s="21">
        <v>98</v>
      </c>
      <c r="H536" s="21">
        <v>0</v>
      </c>
      <c r="I536" s="21">
        <f t="shared" si="462"/>
        <v>0</v>
      </c>
      <c r="J536" s="21">
        <f t="shared" si="463"/>
        <v>0</v>
      </c>
      <c r="K536" s="21">
        <f t="shared" si="464"/>
        <v>0</v>
      </c>
      <c r="L536" s="21">
        <v>0</v>
      </c>
      <c r="M536" s="21">
        <f t="shared" si="465"/>
        <v>0</v>
      </c>
      <c r="N536" s="35"/>
      <c r="O536" s="39"/>
      <c r="U536" s="41">
        <f t="shared" si="466"/>
        <v>0</v>
      </c>
      <c r="W536" s="41">
        <f t="shared" si="467"/>
        <v>0</v>
      </c>
      <c r="X536" s="41">
        <f t="shared" si="468"/>
        <v>0</v>
      </c>
      <c r="Y536" s="41">
        <f t="shared" si="469"/>
        <v>0</v>
      </c>
      <c r="Z536" s="41">
        <f t="shared" si="470"/>
        <v>0</v>
      </c>
      <c r="AA536" s="41">
        <f t="shared" si="471"/>
        <v>0</v>
      </c>
      <c r="AB536" s="41">
        <f t="shared" si="472"/>
        <v>0</v>
      </c>
      <c r="AC536" s="41">
        <f t="shared" si="473"/>
        <v>0</v>
      </c>
      <c r="AD536" s="31"/>
      <c r="AE536" s="21">
        <f t="shared" si="474"/>
        <v>0</v>
      </c>
      <c r="AF536" s="21">
        <f t="shared" si="475"/>
        <v>0</v>
      </c>
      <c r="AG536" s="21">
        <f t="shared" si="476"/>
        <v>0</v>
      </c>
      <c r="AI536" s="41">
        <v>21</v>
      </c>
      <c r="AJ536" s="41">
        <f t="shared" si="477"/>
        <v>0</v>
      </c>
      <c r="AK536" s="41">
        <f t="shared" si="478"/>
        <v>0</v>
      </c>
      <c r="AL536" s="42" t="s">
        <v>13</v>
      </c>
      <c r="AQ536" s="41">
        <f t="shared" si="479"/>
        <v>0</v>
      </c>
      <c r="AR536" s="41">
        <f t="shared" si="480"/>
        <v>0</v>
      </c>
      <c r="AS536" s="41">
        <f t="shared" si="481"/>
        <v>0</v>
      </c>
      <c r="AT536" s="44" t="s">
        <v>2441</v>
      </c>
      <c r="AU536" s="44" t="s">
        <v>2481</v>
      </c>
      <c r="AV536" s="31" t="s">
        <v>2486</v>
      </c>
      <c r="AX536" s="41">
        <f t="shared" si="482"/>
        <v>0</v>
      </c>
      <c r="AY536" s="41">
        <f t="shared" si="483"/>
        <v>0</v>
      </c>
      <c r="AZ536" s="41">
        <v>0</v>
      </c>
      <c r="BA536" s="41">
        <f t="shared" si="484"/>
        <v>0</v>
      </c>
      <c r="BC536" s="21">
        <f t="shared" si="485"/>
        <v>0</v>
      </c>
      <c r="BD536" s="21">
        <f t="shared" si="486"/>
        <v>0</v>
      </c>
      <c r="BE536" s="21">
        <f t="shared" si="487"/>
        <v>0</v>
      </c>
      <c r="BF536" s="21" t="s">
        <v>2492</v>
      </c>
      <c r="BG536" s="41">
        <v>7321</v>
      </c>
    </row>
    <row r="537" spans="1:59" x14ac:dyDescent="0.3">
      <c r="A537" s="5"/>
      <c r="B537" s="14"/>
      <c r="C537" s="14" t="s">
        <v>768</v>
      </c>
      <c r="D537" s="103" t="s">
        <v>1925</v>
      </c>
      <c r="E537" s="104"/>
      <c r="F537" s="19" t="s">
        <v>6</v>
      </c>
      <c r="G537" s="19" t="s">
        <v>6</v>
      </c>
      <c r="H537" s="19" t="s">
        <v>6</v>
      </c>
      <c r="I537" s="47">
        <f>SUM(I538:I554)</f>
        <v>0</v>
      </c>
      <c r="J537" s="47">
        <f>SUM(J538:J554)</f>
        <v>0</v>
      </c>
      <c r="K537" s="47">
        <f>SUM(K538:K554)</f>
        <v>0</v>
      </c>
      <c r="L537" s="31"/>
      <c r="M537" s="47">
        <f>SUM(M538:M554)</f>
        <v>2.5128387499999993</v>
      </c>
      <c r="N537" s="36"/>
      <c r="O537" s="39"/>
      <c r="AD537" s="31"/>
      <c r="AN537" s="47">
        <f>SUM(AE538:AE554)</f>
        <v>0</v>
      </c>
      <c r="AO537" s="47">
        <f>SUM(AF538:AF554)</f>
        <v>0</v>
      </c>
      <c r="AP537" s="47">
        <f>SUM(AG538:AG554)</f>
        <v>0</v>
      </c>
    </row>
    <row r="538" spans="1:59" x14ac:dyDescent="0.3">
      <c r="A538" s="4" t="s">
        <v>518</v>
      </c>
      <c r="B538" s="13"/>
      <c r="C538" s="13" t="s">
        <v>1147</v>
      </c>
      <c r="D538" s="101" t="s">
        <v>1926</v>
      </c>
      <c r="E538" s="102"/>
      <c r="F538" s="13" t="s">
        <v>2387</v>
      </c>
      <c r="G538" s="21">
        <v>77.913550000000001</v>
      </c>
      <c r="H538" s="21">
        <v>0</v>
      </c>
      <c r="I538" s="21">
        <f t="shared" ref="I538:I554" si="488">G538*AJ538</f>
        <v>0</v>
      </c>
      <c r="J538" s="21">
        <f t="shared" ref="J538:J554" si="489">G538*AK538</f>
        <v>0</v>
      </c>
      <c r="K538" s="21">
        <f t="shared" ref="K538:K554" si="490">G538*H538</f>
        <v>0</v>
      </c>
      <c r="L538" s="21">
        <v>2.5000000000000001E-2</v>
      </c>
      <c r="M538" s="21">
        <f t="shared" ref="M538:M554" si="491">G538*L538</f>
        <v>1.9478387500000001</v>
      </c>
      <c r="N538" s="35" t="s">
        <v>2417</v>
      </c>
      <c r="O538" s="39"/>
      <c r="U538" s="41">
        <f t="shared" ref="U538:U554" si="492">IF(AL538="5",BE538,0)</f>
        <v>0</v>
      </c>
      <c r="W538" s="41">
        <f t="shared" ref="W538:W554" si="493">IF(AL538="1",BC538,0)</f>
        <v>0</v>
      </c>
      <c r="X538" s="41">
        <f t="shared" ref="X538:X554" si="494">IF(AL538="1",BD538,0)</f>
        <v>0</v>
      </c>
      <c r="Y538" s="41">
        <f t="shared" ref="Y538:Y554" si="495">IF(AL538="7",BC538,0)</f>
        <v>0</v>
      </c>
      <c r="Z538" s="41">
        <f t="shared" ref="Z538:Z554" si="496">IF(AL538="7",BD538,0)</f>
        <v>0</v>
      </c>
      <c r="AA538" s="41">
        <f t="shared" ref="AA538:AA554" si="497">IF(AL538="2",BC538,0)</f>
        <v>0</v>
      </c>
      <c r="AB538" s="41">
        <f t="shared" ref="AB538:AB554" si="498">IF(AL538="2",BD538,0)</f>
        <v>0</v>
      </c>
      <c r="AC538" s="41">
        <f t="shared" ref="AC538:AC554" si="499">IF(AL538="0",BE538,0)</f>
        <v>0</v>
      </c>
      <c r="AD538" s="31"/>
      <c r="AE538" s="21">
        <f t="shared" ref="AE538:AE554" si="500">IF(AI538=0,K538,0)</f>
        <v>0</v>
      </c>
      <c r="AF538" s="21">
        <f t="shared" ref="AF538:AF554" si="501">IF(AI538=15,K538,0)</f>
        <v>0</v>
      </c>
      <c r="AG538" s="21">
        <f t="shared" ref="AG538:AG554" si="502">IF(AI538=21,K538,0)</f>
        <v>0</v>
      </c>
      <c r="AI538" s="41">
        <v>21</v>
      </c>
      <c r="AJ538" s="41">
        <f>H538*0.766060156507548</f>
        <v>0</v>
      </c>
      <c r="AK538" s="41">
        <f>H538*(1-0.766060156507548)</f>
        <v>0</v>
      </c>
      <c r="AL538" s="42" t="s">
        <v>13</v>
      </c>
      <c r="AQ538" s="41">
        <f t="shared" ref="AQ538:AQ554" si="503">AR538+AS538</f>
        <v>0</v>
      </c>
      <c r="AR538" s="41">
        <f t="shared" ref="AR538:AR554" si="504">G538*AJ538</f>
        <v>0</v>
      </c>
      <c r="AS538" s="41">
        <f t="shared" ref="AS538:AS554" si="505">G538*AK538</f>
        <v>0</v>
      </c>
      <c r="AT538" s="44" t="s">
        <v>2442</v>
      </c>
      <c r="AU538" s="44" t="s">
        <v>2482</v>
      </c>
      <c r="AV538" s="31" t="s">
        <v>2486</v>
      </c>
      <c r="AX538" s="41">
        <f t="shared" ref="AX538:AX554" si="506">AR538+AS538</f>
        <v>0</v>
      </c>
      <c r="AY538" s="41">
        <f t="shared" ref="AY538:AY554" si="507">H538/(100-AZ538)*100</f>
        <v>0</v>
      </c>
      <c r="AZ538" s="41">
        <v>0</v>
      </c>
      <c r="BA538" s="41">
        <f t="shared" ref="BA538:BA554" si="508">M538</f>
        <v>1.9478387500000001</v>
      </c>
      <c r="BC538" s="21">
        <f t="shared" ref="BC538:BC554" si="509">G538*AJ538</f>
        <v>0</v>
      </c>
      <c r="BD538" s="21">
        <f t="shared" ref="BD538:BD554" si="510">G538*AK538</f>
        <v>0</v>
      </c>
      <c r="BE538" s="21">
        <f t="shared" ref="BE538:BE554" si="511">G538*H538</f>
        <v>0</v>
      </c>
      <c r="BF538" s="21" t="s">
        <v>2492</v>
      </c>
      <c r="BG538" s="41">
        <v>766</v>
      </c>
    </row>
    <row r="539" spans="1:59" x14ac:dyDescent="0.3">
      <c r="A539" s="4" t="s">
        <v>519</v>
      </c>
      <c r="B539" s="13"/>
      <c r="C539" s="13" t="s">
        <v>1148</v>
      </c>
      <c r="D539" s="101" t="s">
        <v>1927</v>
      </c>
      <c r="E539" s="102"/>
      <c r="F539" s="13" t="s">
        <v>2391</v>
      </c>
      <c r="G539" s="21">
        <v>1</v>
      </c>
      <c r="H539" s="21">
        <v>0</v>
      </c>
      <c r="I539" s="21">
        <f t="shared" si="488"/>
        <v>0</v>
      </c>
      <c r="J539" s="21">
        <f t="shared" si="489"/>
        <v>0</v>
      </c>
      <c r="K539" s="21">
        <f t="shared" si="490"/>
        <v>0</v>
      </c>
      <c r="L539" s="21">
        <v>0.04</v>
      </c>
      <c r="M539" s="21">
        <f t="shared" si="491"/>
        <v>0.04</v>
      </c>
      <c r="N539" s="35" t="s">
        <v>2417</v>
      </c>
      <c r="O539" s="39"/>
      <c r="U539" s="41">
        <f t="shared" si="492"/>
        <v>0</v>
      </c>
      <c r="W539" s="41">
        <f t="shared" si="493"/>
        <v>0</v>
      </c>
      <c r="X539" s="41">
        <f t="shared" si="494"/>
        <v>0</v>
      </c>
      <c r="Y539" s="41">
        <f t="shared" si="495"/>
        <v>0</v>
      </c>
      <c r="Z539" s="41">
        <f t="shared" si="496"/>
        <v>0</v>
      </c>
      <c r="AA539" s="41">
        <f t="shared" si="497"/>
        <v>0</v>
      </c>
      <c r="AB539" s="41">
        <f t="shared" si="498"/>
        <v>0</v>
      </c>
      <c r="AC539" s="41">
        <f t="shared" si="499"/>
        <v>0</v>
      </c>
      <c r="AD539" s="31"/>
      <c r="AE539" s="21">
        <f t="shared" si="500"/>
        <v>0</v>
      </c>
      <c r="AF539" s="21">
        <f t="shared" si="501"/>
        <v>0</v>
      </c>
      <c r="AG539" s="21">
        <f t="shared" si="502"/>
        <v>0</v>
      </c>
      <c r="AI539" s="41">
        <v>21</v>
      </c>
      <c r="AJ539" s="41">
        <f>H539*0.64367816091954</f>
        <v>0</v>
      </c>
      <c r="AK539" s="41">
        <f>H539*(1-0.64367816091954)</f>
        <v>0</v>
      </c>
      <c r="AL539" s="42" t="s">
        <v>13</v>
      </c>
      <c r="AQ539" s="41">
        <f t="shared" si="503"/>
        <v>0</v>
      </c>
      <c r="AR539" s="41">
        <f t="shared" si="504"/>
        <v>0</v>
      </c>
      <c r="AS539" s="41">
        <f t="shared" si="505"/>
        <v>0</v>
      </c>
      <c r="AT539" s="44" t="s">
        <v>2442</v>
      </c>
      <c r="AU539" s="44" t="s">
        <v>2482</v>
      </c>
      <c r="AV539" s="31" t="s">
        <v>2486</v>
      </c>
      <c r="AX539" s="41">
        <f t="shared" si="506"/>
        <v>0</v>
      </c>
      <c r="AY539" s="41">
        <f t="shared" si="507"/>
        <v>0</v>
      </c>
      <c r="AZ539" s="41">
        <v>0</v>
      </c>
      <c r="BA539" s="41">
        <f t="shared" si="508"/>
        <v>0.04</v>
      </c>
      <c r="BC539" s="21">
        <f t="shared" si="509"/>
        <v>0</v>
      </c>
      <c r="BD539" s="21">
        <f t="shared" si="510"/>
        <v>0</v>
      </c>
      <c r="BE539" s="21">
        <f t="shared" si="511"/>
        <v>0</v>
      </c>
      <c r="BF539" s="21" t="s">
        <v>2492</v>
      </c>
      <c r="BG539" s="41">
        <v>766</v>
      </c>
    </row>
    <row r="540" spans="1:59" x14ac:dyDescent="0.3">
      <c r="A540" s="4" t="s">
        <v>520</v>
      </c>
      <c r="B540" s="13"/>
      <c r="C540" s="13" t="s">
        <v>1149</v>
      </c>
      <c r="D540" s="101" t="s">
        <v>1928</v>
      </c>
      <c r="E540" s="102"/>
      <c r="F540" s="13" t="s">
        <v>2391</v>
      </c>
      <c r="G540" s="21">
        <v>1</v>
      </c>
      <c r="H540" s="21">
        <v>0</v>
      </c>
      <c r="I540" s="21">
        <f t="shared" si="488"/>
        <v>0</v>
      </c>
      <c r="J540" s="21">
        <f t="shared" si="489"/>
        <v>0</v>
      </c>
      <c r="K540" s="21">
        <f t="shared" si="490"/>
        <v>0</v>
      </c>
      <c r="L540" s="21">
        <v>0</v>
      </c>
      <c r="M540" s="21">
        <f t="shared" si="491"/>
        <v>0</v>
      </c>
      <c r="N540" s="35" t="s">
        <v>2417</v>
      </c>
      <c r="O540" s="39"/>
      <c r="U540" s="41">
        <f t="shared" si="492"/>
        <v>0</v>
      </c>
      <c r="W540" s="41">
        <f t="shared" si="493"/>
        <v>0</v>
      </c>
      <c r="X540" s="41">
        <f t="shared" si="494"/>
        <v>0</v>
      </c>
      <c r="Y540" s="41">
        <f t="shared" si="495"/>
        <v>0</v>
      </c>
      <c r="Z540" s="41">
        <f t="shared" si="496"/>
        <v>0</v>
      </c>
      <c r="AA540" s="41">
        <f t="shared" si="497"/>
        <v>0</v>
      </c>
      <c r="AB540" s="41">
        <f t="shared" si="498"/>
        <v>0</v>
      </c>
      <c r="AC540" s="41">
        <f t="shared" si="499"/>
        <v>0</v>
      </c>
      <c r="AD540" s="31"/>
      <c r="AE540" s="21">
        <f t="shared" si="500"/>
        <v>0</v>
      </c>
      <c r="AF540" s="21">
        <f t="shared" si="501"/>
        <v>0</v>
      </c>
      <c r="AG540" s="21">
        <f t="shared" si="502"/>
        <v>0</v>
      </c>
      <c r="AI540" s="41">
        <v>21</v>
      </c>
      <c r="AJ540" s="41">
        <f>H540*0.704724409448819</f>
        <v>0</v>
      </c>
      <c r="AK540" s="41">
        <f>H540*(1-0.704724409448819)</f>
        <v>0</v>
      </c>
      <c r="AL540" s="42" t="s">
        <v>13</v>
      </c>
      <c r="AQ540" s="41">
        <f t="shared" si="503"/>
        <v>0</v>
      </c>
      <c r="AR540" s="41">
        <f t="shared" si="504"/>
        <v>0</v>
      </c>
      <c r="AS540" s="41">
        <f t="shared" si="505"/>
        <v>0</v>
      </c>
      <c r="AT540" s="44" t="s">
        <v>2442</v>
      </c>
      <c r="AU540" s="44" t="s">
        <v>2482</v>
      </c>
      <c r="AV540" s="31" t="s">
        <v>2486</v>
      </c>
      <c r="AX540" s="41">
        <f t="shared" si="506"/>
        <v>0</v>
      </c>
      <c r="AY540" s="41">
        <f t="shared" si="507"/>
        <v>0</v>
      </c>
      <c r="AZ540" s="41">
        <v>0</v>
      </c>
      <c r="BA540" s="41">
        <f t="shared" si="508"/>
        <v>0</v>
      </c>
      <c r="BC540" s="21">
        <f t="shared" si="509"/>
        <v>0</v>
      </c>
      <c r="BD540" s="21">
        <f t="shared" si="510"/>
        <v>0</v>
      </c>
      <c r="BE540" s="21">
        <f t="shared" si="511"/>
        <v>0</v>
      </c>
      <c r="BF540" s="21" t="s">
        <v>2492</v>
      </c>
      <c r="BG540" s="41">
        <v>766</v>
      </c>
    </row>
    <row r="541" spans="1:59" x14ac:dyDescent="0.3">
      <c r="A541" s="4" t="s">
        <v>521</v>
      </c>
      <c r="B541" s="13"/>
      <c r="C541" s="13" t="s">
        <v>1150</v>
      </c>
      <c r="D541" s="101" t="s">
        <v>1929</v>
      </c>
      <c r="E541" s="102"/>
      <c r="F541" s="13" t="s">
        <v>2391</v>
      </c>
      <c r="G541" s="21">
        <v>1</v>
      </c>
      <c r="H541" s="21">
        <v>0</v>
      </c>
      <c r="I541" s="21">
        <f t="shared" si="488"/>
        <v>0</v>
      </c>
      <c r="J541" s="21">
        <f t="shared" si="489"/>
        <v>0</v>
      </c>
      <c r="K541" s="21">
        <f t="shared" si="490"/>
        <v>0</v>
      </c>
      <c r="L541" s="21">
        <v>0</v>
      </c>
      <c r="M541" s="21">
        <f t="shared" si="491"/>
        <v>0</v>
      </c>
      <c r="N541" s="35" t="s">
        <v>2417</v>
      </c>
      <c r="O541" s="39"/>
      <c r="U541" s="41">
        <f t="shared" si="492"/>
        <v>0</v>
      </c>
      <c r="W541" s="41">
        <f t="shared" si="493"/>
        <v>0</v>
      </c>
      <c r="X541" s="41">
        <f t="shared" si="494"/>
        <v>0</v>
      </c>
      <c r="Y541" s="41">
        <f t="shared" si="495"/>
        <v>0</v>
      </c>
      <c r="Z541" s="41">
        <f t="shared" si="496"/>
        <v>0</v>
      </c>
      <c r="AA541" s="41">
        <f t="shared" si="497"/>
        <v>0</v>
      </c>
      <c r="AB541" s="41">
        <f t="shared" si="498"/>
        <v>0</v>
      </c>
      <c r="AC541" s="41">
        <f t="shared" si="499"/>
        <v>0</v>
      </c>
      <c r="AD541" s="31"/>
      <c r="AE541" s="21">
        <f t="shared" si="500"/>
        <v>0</v>
      </c>
      <c r="AF541" s="21">
        <f t="shared" si="501"/>
        <v>0</v>
      </c>
      <c r="AG541" s="21">
        <f t="shared" si="502"/>
        <v>0</v>
      </c>
      <c r="AI541" s="41">
        <v>21</v>
      </c>
      <c r="AJ541" s="41">
        <f>H541*0.673076923076923</f>
        <v>0</v>
      </c>
      <c r="AK541" s="41">
        <f>H541*(1-0.673076923076923)</f>
        <v>0</v>
      </c>
      <c r="AL541" s="42" t="s">
        <v>13</v>
      </c>
      <c r="AQ541" s="41">
        <f t="shared" si="503"/>
        <v>0</v>
      </c>
      <c r="AR541" s="41">
        <f t="shared" si="504"/>
        <v>0</v>
      </c>
      <c r="AS541" s="41">
        <f t="shared" si="505"/>
        <v>0</v>
      </c>
      <c r="AT541" s="44" t="s">
        <v>2442</v>
      </c>
      <c r="AU541" s="44" t="s">
        <v>2482</v>
      </c>
      <c r="AV541" s="31" t="s">
        <v>2486</v>
      </c>
      <c r="AX541" s="41">
        <f t="shared" si="506"/>
        <v>0</v>
      </c>
      <c r="AY541" s="41">
        <f t="shared" si="507"/>
        <v>0</v>
      </c>
      <c r="AZ541" s="41">
        <v>0</v>
      </c>
      <c r="BA541" s="41">
        <f t="shared" si="508"/>
        <v>0</v>
      </c>
      <c r="BC541" s="21">
        <f t="shared" si="509"/>
        <v>0</v>
      </c>
      <c r="BD541" s="21">
        <f t="shared" si="510"/>
        <v>0</v>
      </c>
      <c r="BE541" s="21">
        <f t="shared" si="511"/>
        <v>0</v>
      </c>
      <c r="BF541" s="21" t="s">
        <v>2492</v>
      </c>
      <c r="BG541" s="41">
        <v>766</v>
      </c>
    </row>
    <row r="542" spans="1:59" x14ac:dyDescent="0.3">
      <c r="A542" s="4" t="s">
        <v>522</v>
      </c>
      <c r="B542" s="13"/>
      <c r="C542" s="13" t="s">
        <v>1151</v>
      </c>
      <c r="D542" s="101" t="s">
        <v>1930</v>
      </c>
      <c r="E542" s="102"/>
      <c r="F542" s="13" t="s">
        <v>2391</v>
      </c>
      <c r="G542" s="21">
        <v>1</v>
      </c>
      <c r="H542" s="21">
        <v>0</v>
      </c>
      <c r="I542" s="21">
        <f t="shared" si="488"/>
        <v>0</v>
      </c>
      <c r="J542" s="21">
        <f t="shared" si="489"/>
        <v>0</v>
      </c>
      <c r="K542" s="21">
        <f t="shared" si="490"/>
        <v>0</v>
      </c>
      <c r="L542" s="21">
        <v>0.04</v>
      </c>
      <c r="M542" s="21">
        <f t="shared" si="491"/>
        <v>0.04</v>
      </c>
      <c r="N542" s="35" t="s">
        <v>2417</v>
      </c>
      <c r="O542" s="39"/>
      <c r="U542" s="41">
        <f t="shared" si="492"/>
        <v>0</v>
      </c>
      <c r="W542" s="41">
        <f t="shared" si="493"/>
        <v>0</v>
      </c>
      <c r="X542" s="41">
        <f t="shared" si="494"/>
        <v>0</v>
      </c>
      <c r="Y542" s="41">
        <f t="shared" si="495"/>
        <v>0</v>
      </c>
      <c r="Z542" s="41">
        <f t="shared" si="496"/>
        <v>0</v>
      </c>
      <c r="AA542" s="41">
        <f t="shared" si="497"/>
        <v>0</v>
      </c>
      <c r="AB542" s="41">
        <f t="shared" si="498"/>
        <v>0</v>
      </c>
      <c r="AC542" s="41">
        <f t="shared" si="499"/>
        <v>0</v>
      </c>
      <c r="AD542" s="31"/>
      <c r="AE542" s="21">
        <f t="shared" si="500"/>
        <v>0</v>
      </c>
      <c r="AF542" s="21">
        <f t="shared" si="501"/>
        <v>0</v>
      </c>
      <c r="AG542" s="21">
        <f t="shared" si="502"/>
        <v>0</v>
      </c>
      <c r="AI542" s="41">
        <v>21</v>
      </c>
      <c r="AJ542" s="41">
        <f>H542*0.678030303030303</f>
        <v>0</v>
      </c>
      <c r="AK542" s="41">
        <f>H542*(1-0.678030303030303)</f>
        <v>0</v>
      </c>
      <c r="AL542" s="42" t="s">
        <v>13</v>
      </c>
      <c r="AQ542" s="41">
        <f t="shared" si="503"/>
        <v>0</v>
      </c>
      <c r="AR542" s="41">
        <f t="shared" si="504"/>
        <v>0</v>
      </c>
      <c r="AS542" s="41">
        <f t="shared" si="505"/>
        <v>0</v>
      </c>
      <c r="AT542" s="44" t="s">
        <v>2442</v>
      </c>
      <c r="AU542" s="44" t="s">
        <v>2482</v>
      </c>
      <c r="AV542" s="31" t="s">
        <v>2486</v>
      </c>
      <c r="AX542" s="41">
        <f t="shared" si="506"/>
        <v>0</v>
      </c>
      <c r="AY542" s="41">
        <f t="shared" si="507"/>
        <v>0</v>
      </c>
      <c r="AZ542" s="41">
        <v>0</v>
      </c>
      <c r="BA542" s="41">
        <f t="shared" si="508"/>
        <v>0.04</v>
      </c>
      <c r="BC542" s="21">
        <f t="shared" si="509"/>
        <v>0</v>
      </c>
      <c r="BD542" s="21">
        <f t="shared" si="510"/>
        <v>0</v>
      </c>
      <c r="BE542" s="21">
        <f t="shared" si="511"/>
        <v>0</v>
      </c>
      <c r="BF542" s="21" t="s">
        <v>2492</v>
      </c>
      <c r="BG542" s="41">
        <v>766</v>
      </c>
    </row>
    <row r="543" spans="1:59" x14ac:dyDescent="0.3">
      <c r="A543" s="4" t="s">
        <v>523</v>
      </c>
      <c r="B543" s="13"/>
      <c r="C543" s="13" t="s">
        <v>1152</v>
      </c>
      <c r="D543" s="101" t="s">
        <v>1931</v>
      </c>
      <c r="E543" s="102"/>
      <c r="F543" s="13" t="s">
        <v>2391</v>
      </c>
      <c r="G543" s="21">
        <v>1</v>
      </c>
      <c r="H543" s="21">
        <v>0</v>
      </c>
      <c r="I543" s="21">
        <f t="shared" si="488"/>
        <v>0</v>
      </c>
      <c r="J543" s="21">
        <f t="shared" si="489"/>
        <v>0</v>
      </c>
      <c r="K543" s="21">
        <f t="shared" si="490"/>
        <v>0</v>
      </c>
      <c r="L543" s="21">
        <v>0.04</v>
      </c>
      <c r="M543" s="21">
        <f t="shared" si="491"/>
        <v>0.04</v>
      </c>
      <c r="N543" s="35" t="s">
        <v>2417</v>
      </c>
      <c r="O543" s="39"/>
      <c r="U543" s="41">
        <f t="shared" si="492"/>
        <v>0</v>
      </c>
      <c r="W543" s="41">
        <f t="shared" si="493"/>
        <v>0</v>
      </c>
      <c r="X543" s="41">
        <f t="shared" si="494"/>
        <v>0</v>
      </c>
      <c r="Y543" s="41">
        <f t="shared" si="495"/>
        <v>0</v>
      </c>
      <c r="Z543" s="41">
        <f t="shared" si="496"/>
        <v>0</v>
      </c>
      <c r="AA543" s="41">
        <f t="shared" si="497"/>
        <v>0</v>
      </c>
      <c r="AB543" s="41">
        <f t="shared" si="498"/>
        <v>0</v>
      </c>
      <c r="AC543" s="41">
        <f t="shared" si="499"/>
        <v>0</v>
      </c>
      <c r="AD543" s="31"/>
      <c r="AE543" s="21">
        <f t="shared" si="500"/>
        <v>0</v>
      </c>
      <c r="AF543" s="21">
        <f t="shared" si="501"/>
        <v>0</v>
      </c>
      <c r="AG543" s="21">
        <f t="shared" si="502"/>
        <v>0</v>
      </c>
      <c r="AI543" s="41">
        <v>21</v>
      </c>
      <c r="AJ543" s="41">
        <f>H543*0.730769230769231</f>
        <v>0</v>
      </c>
      <c r="AK543" s="41">
        <f>H543*(1-0.730769230769231)</f>
        <v>0</v>
      </c>
      <c r="AL543" s="42" t="s">
        <v>13</v>
      </c>
      <c r="AQ543" s="41">
        <f t="shared" si="503"/>
        <v>0</v>
      </c>
      <c r="AR543" s="41">
        <f t="shared" si="504"/>
        <v>0</v>
      </c>
      <c r="AS543" s="41">
        <f t="shared" si="505"/>
        <v>0</v>
      </c>
      <c r="AT543" s="44" t="s">
        <v>2442</v>
      </c>
      <c r="AU543" s="44" t="s">
        <v>2482</v>
      </c>
      <c r="AV543" s="31" t="s">
        <v>2486</v>
      </c>
      <c r="AX543" s="41">
        <f t="shared" si="506"/>
        <v>0</v>
      </c>
      <c r="AY543" s="41">
        <f t="shared" si="507"/>
        <v>0</v>
      </c>
      <c r="AZ543" s="41">
        <v>0</v>
      </c>
      <c r="BA543" s="41">
        <f t="shared" si="508"/>
        <v>0.04</v>
      </c>
      <c r="BC543" s="21">
        <f t="shared" si="509"/>
        <v>0</v>
      </c>
      <c r="BD543" s="21">
        <f t="shared" si="510"/>
        <v>0</v>
      </c>
      <c r="BE543" s="21">
        <f t="shared" si="511"/>
        <v>0</v>
      </c>
      <c r="BF543" s="21" t="s">
        <v>2492</v>
      </c>
      <c r="BG543" s="41">
        <v>766</v>
      </c>
    </row>
    <row r="544" spans="1:59" x14ac:dyDescent="0.3">
      <c r="A544" s="4" t="s">
        <v>524</v>
      </c>
      <c r="B544" s="13"/>
      <c r="C544" s="13" t="s">
        <v>1153</v>
      </c>
      <c r="D544" s="101" t="s">
        <v>1932</v>
      </c>
      <c r="E544" s="102"/>
      <c r="F544" s="13" t="s">
        <v>2391</v>
      </c>
      <c r="G544" s="21">
        <v>1</v>
      </c>
      <c r="H544" s="21">
        <v>0</v>
      </c>
      <c r="I544" s="21">
        <f t="shared" si="488"/>
        <v>0</v>
      </c>
      <c r="J544" s="21">
        <f t="shared" si="489"/>
        <v>0</v>
      </c>
      <c r="K544" s="21">
        <f t="shared" si="490"/>
        <v>0</v>
      </c>
      <c r="L544" s="21">
        <v>4.4999999999999998E-2</v>
      </c>
      <c r="M544" s="21">
        <f t="shared" si="491"/>
        <v>4.4999999999999998E-2</v>
      </c>
      <c r="N544" s="35" t="s">
        <v>2417</v>
      </c>
      <c r="O544" s="39"/>
      <c r="U544" s="41">
        <f t="shared" si="492"/>
        <v>0</v>
      </c>
      <c r="W544" s="41">
        <f t="shared" si="493"/>
        <v>0</v>
      </c>
      <c r="X544" s="41">
        <f t="shared" si="494"/>
        <v>0</v>
      </c>
      <c r="Y544" s="41">
        <f t="shared" si="495"/>
        <v>0</v>
      </c>
      <c r="Z544" s="41">
        <f t="shared" si="496"/>
        <v>0</v>
      </c>
      <c r="AA544" s="41">
        <f t="shared" si="497"/>
        <v>0</v>
      </c>
      <c r="AB544" s="41">
        <f t="shared" si="498"/>
        <v>0</v>
      </c>
      <c r="AC544" s="41">
        <f t="shared" si="499"/>
        <v>0</v>
      </c>
      <c r="AD544" s="31"/>
      <c r="AE544" s="21">
        <f t="shared" si="500"/>
        <v>0</v>
      </c>
      <c r="AF544" s="21">
        <f t="shared" si="501"/>
        <v>0</v>
      </c>
      <c r="AG544" s="21">
        <f t="shared" si="502"/>
        <v>0</v>
      </c>
      <c r="AI544" s="41">
        <v>21</v>
      </c>
      <c r="AJ544" s="41">
        <f>H544*0.754716981132076</f>
        <v>0</v>
      </c>
      <c r="AK544" s="41">
        <f>H544*(1-0.754716981132076)</f>
        <v>0</v>
      </c>
      <c r="AL544" s="42" t="s">
        <v>13</v>
      </c>
      <c r="AQ544" s="41">
        <f t="shared" si="503"/>
        <v>0</v>
      </c>
      <c r="AR544" s="41">
        <f t="shared" si="504"/>
        <v>0</v>
      </c>
      <c r="AS544" s="41">
        <f t="shared" si="505"/>
        <v>0</v>
      </c>
      <c r="AT544" s="44" t="s">
        <v>2442</v>
      </c>
      <c r="AU544" s="44" t="s">
        <v>2482</v>
      </c>
      <c r="AV544" s="31" t="s">
        <v>2486</v>
      </c>
      <c r="AX544" s="41">
        <f t="shared" si="506"/>
        <v>0</v>
      </c>
      <c r="AY544" s="41">
        <f t="shared" si="507"/>
        <v>0</v>
      </c>
      <c r="AZ544" s="41">
        <v>0</v>
      </c>
      <c r="BA544" s="41">
        <f t="shared" si="508"/>
        <v>4.4999999999999998E-2</v>
      </c>
      <c r="BC544" s="21">
        <f t="shared" si="509"/>
        <v>0</v>
      </c>
      <c r="BD544" s="21">
        <f t="shared" si="510"/>
        <v>0</v>
      </c>
      <c r="BE544" s="21">
        <f t="shared" si="511"/>
        <v>0</v>
      </c>
      <c r="BF544" s="21" t="s">
        <v>2492</v>
      </c>
      <c r="BG544" s="41">
        <v>766</v>
      </c>
    </row>
    <row r="545" spans="1:59" x14ac:dyDescent="0.3">
      <c r="A545" s="4" t="s">
        <v>525</v>
      </c>
      <c r="B545" s="13"/>
      <c r="C545" s="13" t="s">
        <v>1154</v>
      </c>
      <c r="D545" s="101" t="s">
        <v>1933</v>
      </c>
      <c r="E545" s="102"/>
      <c r="F545" s="13" t="s">
        <v>2391</v>
      </c>
      <c r="G545" s="21">
        <v>1</v>
      </c>
      <c r="H545" s="21">
        <v>0</v>
      </c>
      <c r="I545" s="21">
        <f t="shared" si="488"/>
        <v>0</v>
      </c>
      <c r="J545" s="21">
        <f t="shared" si="489"/>
        <v>0</v>
      </c>
      <c r="K545" s="21">
        <f t="shared" si="490"/>
        <v>0</v>
      </c>
      <c r="L545" s="21">
        <v>4.4999999999999998E-2</v>
      </c>
      <c r="M545" s="21">
        <f t="shared" si="491"/>
        <v>4.4999999999999998E-2</v>
      </c>
      <c r="N545" s="35" t="s">
        <v>2417</v>
      </c>
      <c r="O545" s="39"/>
      <c r="U545" s="41">
        <f t="shared" si="492"/>
        <v>0</v>
      </c>
      <c r="W545" s="41">
        <f t="shared" si="493"/>
        <v>0</v>
      </c>
      <c r="X545" s="41">
        <f t="shared" si="494"/>
        <v>0</v>
      </c>
      <c r="Y545" s="41">
        <f t="shared" si="495"/>
        <v>0</v>
      </c>
      <c r="Z545" s="41">
        <f t="shared" si="496"/>
        <v>0</v>
      </c>
      <c r="AA545" s="41">
        <f t="shared" si="497"/>
        <v>0</v>
      </c>
      <c r="AB545" s="41">
        <f t="shared" si="498"/>
        <v>0</v>
      </c>
      <c r="AC545" s="41">
        <f t="shared" si="499"/>
        <v>0</v>
      </c>
      <c r="AD545" s="31"/>
      <c r="AE545" s="21">
        <f t="shared" si="500"/>
        <v>0</v>
      </c>
      <c r="AF545" s="21">
        <f t="shared" si="501"/>
        <v>0</v>
      </c>
      <c r="AG545" s="21">
        <f t="shared" si="502"/>
        <v>0</v>
      </c>
      <c r="AI545" s="41">
        <v>21</v>
      </c>
      <c r="AJ545" s="41">
        <f>H545*0.727611940298508</f>
        <v>0</v>
      </c>
      <c r="AK545" s="41">
        <f>H545*(1-0.727611940298508)</f>
        <v>0</v>
      </c>
      <c r="AL545" s="42" t="s">
        <v>13</v>
      </c>
      <c r="AQ545" s="41">
        <f t="shared" si="503"/>
        <v>0</v>
      </c>
      <c r="AR545" s="41">
        <f t="shared" si="504"/>
        <v>0</v>
      </c>
      <c r="AS545" s="41">
        <f t="shared" si="505"/>
        <v>0</v>
      </c>
      <c r="AT545" s="44" t="s">
        <v>2442</v>
      </c>
      <c r="AU545" s="44" t="s">
        <v>2482</v>
      </c>
      <c r="AV545" s="31" t="s">
        <v>2486</v>
      </c>
      <c r="AX545" s="41">
        <f t="shared" si="506"/>
        <v>0</v>
      </c>
      <c r="AY545" s="41">
        <f t="shared" si="507"/>
        <v>0</v>
      </c>
      <c r="AZ545" s="41">
        <v>0</v>
      </c>
      <c r="BA545" s="41">
        <f t="shared" si="508"/>
        <v>4.4999999999999998E-2</v>
      </c>
      <c r="BC545" s="21">
        <f t="shared" si="509"/>
        <v>0</v>
      </c>
      <c r="BD545" s="21">
        <f t="shared" si="510"/>
        <v>0</v>
      </c>
      <c r="BE545" s="21">
        <f t="shared" si="511"/>
        <v>0</v>
      </c>
      <c r="BF545" s="21" t="s">
        <v>2492</v>
      </c>
      <c r="BG545" s="41">
        <v>766</v>
      </c>
    </row>
    <row r="546" spans="1:59" x14ac:dyDescent="0.3">
      <c r="A546" s="4" t="s">
        <v>526</v>
      </c>
      <c r="B546" s="13"/>
      <c r="C546" s="13" t="s">
        <v>1155</v>
      </c>
      <c r="D546" s="101" t="s">
        <v>1934</v>
      </c>
      <c r="E546" s="102"/>
      <c r="F546" s="13" t="s">
        <v>2391</v>
      </c>
      <c r="G546" s="21">
        <v>1</v>
      </c>
      <c r="H546" s="21">
        <v>0</v>
      </c>
      <c r="I546" s="21">
        <f t="shared" si="488"/>
        <v>0</v>
      </c>
      <c r="J546" s="21">
        <f t="shared" si="489"/>
        <v>0</v>
      </c>
      <c r="K546" s="21">
        <f t="shared" si="490"/>
        <v>0</v>
      </c>
      <c r="L546" s="21">
        <v>0.05</v>
      </c>
      <c r="M546" s="21">
        <f t="shared" si="491"/>
        <v>0.05</v>
      </c>
      <c r="N546" s="35" t="s">
        <v>2417</v>
      </c>
      <c r="O546" s="39"/>
      <c r="U546" s="41">
        <f t="shared" si="492"/>
        <v>0</v>
      </c>
      <c r="W546" s="41">
        <f t="shared" si="493"/>
        <v>0</v>
      </c>
      <c r="X546" s="41">
        <f t="shared" si="494"/>
        <v>0</v>
      </c>
      <c r="Y546" s="41">
        <f t="shared" si="495"/>
        <v>0</v>
      </c>
      <c r="Z546" s="41">
        <f t="shared" si="496"/>
        <v>0</v>
      </c>
      <c r="AA546" s="41">
        <f t="shared" si="497"/>
        <v>0</v>
      </c>
      <c r="AB546" s="41">
        <f t="shared" si="498"/>
        <v>0</v>
      </c>
      <c r="AC546" s="41">
        <f t="shared" si="499"/>
        <v>0</v>
      </c>
      <c r="AD546" s="31"/>
      <c r="AE546" s="21">
        <f t="shared" si="500"/>
        <v>0</v>
      </c>
      <c r="AF546" s="21">
        <f t="shared" si="501"/>
        <v>0</v>
      </c>
      <c r="AG546" s="21">
        <f t="shared" si="502"/>
        <v>0</v>
      </c>
      <c r="AI546" s="41">
        <v>21</v>
      </c>
      <c r="AJ546" s="41">
        <f>H546*0.634615384615385</f>
        <v>0</v>
      </c>
      <c r="AK546" s="41">
        <f>H546*(1-0.634615384615385)</f>
        <v>0</v>
      </c>
      <c r="AL546" s="42" t="s">
        <v>13</v>
      </c>
      <c r="AQ546" s="41">
        <f t="shared" si="503"/>
        <v>0</v>
      </c>
      <c r="AR546" s="41">
        <f t="shared" si="504"/>
        <v>0</v>
      </c>
      <c r="AS546" s="41">
        <f t="shared" si="505"/>
        <v>0</v>
      </c>
      <c r="AT546" s="44" t="s">
        <v>2442</v>
      </c>
      <c r="AU546" s="44" t="s">
        <v>2482</v>
      </c>
      <c r="AV546" s="31" t="s">
        <v>2486</v>
      </c>
      <c r="AX546" s="41">
        <f t="shared" si="506"/>
        <v>0</v>
      </c>
      <c r="AY546" s="41">
        <f t="shared" si="507"/>
        <v>0</v>
      </c>
      <c r="AZ546" s="41">
        <v>0</v>
      </c>
      <c r="BA546" s="41">
        <f t="shared" si="508"/>
        <v>0.05</v>
      </c>
      <c r="BC546" s="21">
        <f t="shared" si="509"/>
        <v>0</v>
      </c>
      <c r="BD546" s="21">
        <f t="shared" si="510"/>
        <v>0</v>
      </c>
      <c r="BE546" s="21">
        <f t="shared" si="511"/>
        <v>0</v>
      </c>
      <c r="BF546" s="21" t="s">
        <v>2492</v>
      </c>
      <c r="BG546" s="41">
        <v>766</v>
      </c>
    </row>
    <row r="547" spans="1:59" x14ac:dyDescent="0.3">
      <c r="A547" s="4" t="s">
        <v>527</v>
      </c>
      <c r="B547" s="13"/>
      <c r="C547" s="13" t="s">
        <v>1156</v>
      </c>
      <c r="D547" s="101" t="s">
        <v>1935</v>
      </c>
      <c r="E547" s="102"/>
      <c r="F547" s="13" t="s">
        <v>2391</v>
      </c>
      <c r="G547" s="21">
        <v>1</v>
      </c>
      <c r="H547" s="21">
        <v>0</v>
      </c>
      <c r="I547" s="21">
        <f t="shared" si="488"/>
        <v>0</v>
      </c>
      <c r="J547" s="21">
        <f t="shared" si="489"/>
        <v>0</v>
      </c>
      <c r="K547" s="21">
        <f t="shared" si="490"/>
        <v>0</v>
      </c>
      <c r="L547" s="21">
        <v>0.05</v>
      </c>
      <c r="M547" s="21">
        <f t="shared" si="491"/>
        <v>0.05</v>
      </c>
      <c r="N547" s="35" t="s">
        <v>2417</v>
      </c>
      <c r="O547" s="39"/>
      <c r="U547" s="41">
        <f t="shared" si="492"/>
        <v>0</v>
      </c>
      <c r="W547" s="41">
        <f t="shared" si="493"/>
        <v>0</v>
      </c>
      <c r="X547" s="41">
        <f t="shared" si="494"/>
        <v>0</v>
      </c>
      <c r="Y547" s="41">
        <f t="shared" si="495"/>
        <v>0</v>
      </c>
      <c r="Z547" s="41">
        <f t="shared" si="496"/>
        <v>0</v>
      </c>
      <c r="AA547" s="41">
        <f t="shared" si="497"/>
        <v>0</v>
      </c>
      <c r="AB547" s="41">
        <f t="shared" si="498"/>
        <v>0</v>
      </c>
      <c r="AC547" s="41">
        <f t="shared" si="499"/>
        <v>0</v>
      </c>
      <c r="AD547" s="31"/>
      <c r="AE547" s="21">
        <f t="shared" si="500"/>
        <v>0</v>
      </c>
      <c r="AF547" s="21">
        <f t="shared" si="501"/>
        <v>0</v>
      </c>
      <c r="AG547" s="21">
        <f t="shared" si="502"/>
        <v>0</v>
      </c>
      <c r="AI547" s="41">
        <v>21</v>
      </c>
      <c r="AJ547" s="41">
        <f>H547*0.744094488188976</f>
        <v>0</v>
      </c>
      <c r="AK547" s="41">
        <f>H547*(1-0.744094488188976)</f>
        <v>0</v>
      </c>
      <c r="AL547" s="42" t="s">
        <v>13</v>
      </c>
      <c r="AQ547" s="41">
        <f t="shared" si="503"/>
        <v>0</v>
      </c>
      <c r="AR547" s="41">
        <f t="shared" si="504"/>
        <v>0</v>
      </c>
      <c r="AS547" s="41">
        <f t="shared" si="505"/>
        <v>0</v>
      </c>
      <c r="AT547" s="44" t="s">
        <v>2442</v>
      </c>
      <c r="AU547" s="44" t="s">
        <v>2482</v>
      </c>
      <c r="AV547" s="31" t="s">
        <v>2486</v>
      </c>
      <c r="AX547" s="41">
        <f t="shared" si="506"/>
        <v>0</v>
      </c>
      <c r="AY547" s="41">
        <f t="shared" si="507"/>
        <v>0</v>
      </c>
      <c r="AZ547" s="41">
        <v>0</v>
      </c>
      <c r="BA547" s="41">
        <f t="shared" si="508"/>
        <v>0.05</v>
      </c>
      <c r="BC547" s="21">
        <f t="shared" si="509"/>
        <v>0</v>
      </c>
      <c r="BD547" s="21">
        <f t="shared" si="510"/>
        <v>0</v>
      </c>
      <c r="BE547" s="21">
        <f t="shared" si="511"/>
        <v>0</v>
      </c>
      <c r="BF547" s="21" t="s">
        <v>2492</v>
      </c>
      <c r="BG547" s="41">
        <v>766</v>
      </c>
    </row>
    <row r="548" spans="1:59" x14ac:dyDescent="0.3">
      <c r="A548" s="4" t="s">
        <v>528</v>
      </c>
      <c r="B548" s="13"/>
      <c r="C548" s="13" t="s">
        <v>1157</v>
      </c>
      <c r="D548" s="101" t="s">
        <v>1936</v>
      </c>
      <c r="E548" s="102"/>
      <c r="F548" s="13" t="s">
        <v>2391</v>
      </c>
      <c r="G548" s="21">
        <v>1</v>
      </c>
      <c r="H548" s="21">
        <v>0</v>
      </c>
      <c r="I548" s="21">
        <f t="shared" si="488"/>
        <v>0</v>
      </c>
      <c r="J548" s="21">
        <f t="shared" si="489"/>
        <v>0</v>
      </c>
      <c r="K548" s="21">
        <f t="shared" si="490"/>
        <v>0</v>
      </c>
      <c r="L548" s="21">
        <v>0.05</v>
      </c>
      <c r="M548" s="21">
        <f t="shared" si="491"/>
        <v>0.05</v>
      </c>
      <c r="N548" s="35" t="s">
        <v>2417</v>
      </c>
      <c r="O548" s="39"/>
      <c r="U548" s="41">
        <f t="shared" si="492"/>
        <v>0</v>
      </c>
      <c r="W548" s="41">
        <f t="shared" si="493"/>
        <v>0</v>
      </c>
      <c r="X548" s="41">
        <f t="shared" si="494"/>
        <v>0</v>
      </c>
      <c r="Y548" s="41">
        <f t="shared" si="495"/>
        <v>0</v>
      </c>
      <c r="Z548" s="41">
        <f t="shared" si="496"/>
        <v>0</v>
      </c>
      <c r="AA548" s="41">
        <f t="shared" si="497"/>
        <v>0</v>
      </c>
      <c r="AB548" s="41">
        <f t="shared" si="498"/>
        <v>0</v>
      </c>
      <c r="AC548" s="41">
        <f t="shared" si="499"/>
        <v>0</v>
      </c>
      <c r="AD548" s="31"/>
      <c r="AE548" s="21">
        <f t="shared" si="500"/>
        <v>0</v>
      </c>
      <c r="AF548" s="21">
        <f t="shared" si="501"/>
        <v>0</v>
      </c>
      <c r="AG548" s="21">
        <f t="shared" si="502"/>
        <v>0</v>
      </c>
      <c r="AI548" s="41">
        <v>21</v>
      </c>
      <c r="AJ548" s="41">
        <f>H548*0.735849056603774</f>
        <v>0</v>
      </c>
      <c r="AK548" s="41">
        <f>H548*(1-0.735849056603774)</f>
        <v>0</v>
      </c>
      <c r="AL548" s="42" t="s">
        <v>13</v>
      </c>
      <c r="AQ548" s="41">
        <f t="shared" si="503"/>
        <v>0</v>
      </c>
      <c r="AR548" s="41">
        <f t="shared" si="504"/>
        <v>0</v>
      </c>
      <c r="AS548" s="41">
        <f t="shared" si="505"/>
        <v>0</v>
      </c>
      <c r="AT548" s="44" t="s">
        <v>2442</v>
      </c>
      <c r="AU548" s="44" t="s">
        <v>2482</v>
      </c>
      <c r="AV548" s="31" t="s">
        <v>2486</v>
      </c>
      <c r="AX548" s="41">
        <f t="shared" si="506"/>
        <v>0</v>
      </c>
      <c r="AY548" s="41">
        <f t="shared" si="507"/>
        <v>0</v>
      </c>
      <c r="AZ548" s="41">
        <v>0</v>
      </c>
      <c r="BA548" s="41">
        <f t="shared" si="508"/>
        <v>0.05</v>
      </c>
      <c r="BC548" s="21">
        <f t="shared" si="509"/>
        <v>0</v>
      </c>
      <c r="BD548" s="21">
        <f t="shared" si="510"/>
        <v>0</v>
      </c>
      <c r="BE548" s="21">
        <f t="shared" si="511"/>
        <v>0</v>
      </c>
      <c r="BF548" s="21" t="s">
        <v>2492</v>
      </c>
      <c r="BG548" s="41">
        <v>766</v>
      </c>
    </row>
    <row r="549" spans="1:59" x14ac:dyDescent="0.3">
      <c r="A549" s="4" t="s">
        <v>529</v>
      </c>
      <c r="B549" s="13"/>
      <c r="C549" s="13" t="s">
        <v>1158</v>
      </c>
      <c r="D549" s="101" t="s">
        <v>1937</v>
      </c>
      <c r="E549" s="102"/>
      <c r="F549" s="13" t="s">
        <v>2391</v>
      </c>
      <c r="G549" s="21">
        <v>1</v>
      </c>
      <c r="H549" s="21">
        <v>0</v>
      </c>
      <c r="I549" s="21">
        <f t="shared" si="488"/>
        <v>0</v>
      </c>
      <c r="J549" s="21">
        <f t="shared" si="489"/>
        <v>0</v>
      </c>
      <c r="K549" s="21">
        <f t="shared" si="490"/>
        <v>0</v>
      </c>
      <c r="L549" s="21">
        <v>4.4999999999999998E-2</v>
      </c>
      <c r="M549" s="21">
        <f t="shared" si="491"/>
        <v>4.4999999999999998E-2</v>
      </c>
      <c r="N549" s="35" t="s">
        <v>2417</v>
      </c>
      <c r="O549" s="39"/>
      <c r="U549" s="41">
        <f t="shared" si="492"/>
        <v>0</v>
      </c>
      <c r="W549" s="41">
        <f t="shared" si="493"/>
        <v>0</v>
      </c>
      <c r="X549" s="41">
        <f t="shared" si="494"/>
        <v>0</v>
      </c>
      <c r="Y549" s="41">
        <f t="shared" si="495"/>
        <v>0</v>
      </c>
      <c r="Z549" s="41">
        <f t="shared" si="496"/>
        <v>0</v>
      </c>
      <c r="AA549" s="41">
        <f t="shared" si="497"/>
        <v>0</v>
      </c>
      <c r="AB549" s="41">
        <f t="shared" si="498"/>
        <v>0</v>
      </c>
      <c r="AC549" s="41">
        <f t="shared" si="499"/>
        <v>0</v>
      </c>
      <c r="AD549" s="31"/>
      <c r="AE549" s="21">
        <f t="shared" si="500"/>
        <v>0</v>
      </c>
      <c r="AF549" s="21">
        <f t="shared" si="501"/>
        <v>0</v>
      </c>
      <c r="AG549" s="21">
        <f t="shared" si="502"/>
        <v>0</v>
      </c>
      <c r="AI549" s="41">
        <v>21</v>
      </c>
      <c r="AJ549" s="41">
        <f>H549*0.73015873015873</f>
        <v>0</v>
      </c>
      <c r="AK549" s="41">
        <f>H549*(1-0.73015873015873)</f>
        <v>0</v>
      </c>
      <c r="AL549" s="42" t="s">
        <v>13</v>
      </c>
      <c r="AQ549" s="41">
        <f t="shared" si="503"/>
        <v>0</v>
      </c>
      <c r="AR549" s="41">
        <f t="shared" si="504"/>
        <v>0</v>
      </c>
      <c r="AS549" s="41">
        <f t="shared" si="505"/>
        <v>0</v>
      </c>
      <c r="AT549" s="44" t="s">
        <v>2442</v>
      </c>
      <c r="AU549" s="44" t="s">
        <v>2482</v>
      </c>
      <c r="AV549" s="31" t="s">
        <v>2486</v>
      </c>
      <c r="AX549" s="41">
        <f t="shared" si="506"/>
        <v>0</v>
      </c>
      <c r="AY549" s="41">
        <f t="shared" si="507"/>
        <v>0</v>
      </c>
      <c r="AZ549" s="41">
        <v>0</v>
      </c>
      <c r="BA549" s="41">
        <f t="shared" si="508"/>
        <v>4.4999999999999998E-2</v>
      </c>
      <c r="BC549" s="21">
        <f t="shared" si="509"/>
        <v>0</v>
      </c>
      <c r="BD549" s="21">
        <f t="shared" si="510"/>
        <v>0</v>
      </c>
      <c r="BE549" s="21">
        <f t="shared" si="511"/>
        <v>0</v>
      </c>
      <c r="BF549" s="21" t="s">
        <v>2492</v>
      </c>
      <c r="BG549" s="41">
        <v>766</v>
      </c>
    </row>
    <row r="550" spans="1:59" x14ac:dyDescent="0.3">
      <c r="A550" s="4" t="s">
        <v>530</v>
      </c>
      <c r="B550" s="13"/>
      <c r="C550" s="13" t="s">
        <v>1159</v>
      </c>
      <c r="D550" s="101" t="s">
        <v>1938</v>
      </c>
      <c r="E550" s="102"/>
      <c r="F550" s="13" t="s">
        <v>2391</v>
      </c>
      <c r="G550" s="21">
        <v>4</v>
      </c>
      <c r="H550" s="21">
        <v>0</v>
      </c>
      <c r="I550" s="21">
        <f t="shared" si="488"/>
        <v>0</v>
      </c>
      <c r="J550" s="21">
        <f t="shared" si="489"/>
        <v>0</v>
      </c>
      <c r="K550" s="21">
        <f t="shared" si="490"/>
        <v>0</v>
      </c>
      <c r="L550" s="21">
        <v>0.04</v>
      </c>
      <c r="M550" s="21">
        <f t="shared" si="491"/>
        <v>0.16</v>
      </c>
      <c r="N550" s="35" t="s">
        <v>2417</v>
      </c>
      <c r="O550" s="39"/>
      <c r="U550" s="41">
        <f t="shared" si="492"/>
        <v>0</v>
      </c>
      <c r="W550" s="41">
        <f t="shared" si="493"/>
        <v>0</v>
      </c>
      <c r="X550" s="41">
        <f t="shared" si="494"/>
        <v>0</v>
      </c>
      <c r="Y550" s="41">
        <f t="shared" si="495"/>
        <v>0</v>
      </c>
      <c r="Z550" s="41">
        <f t="shared" si="496"/>
        <v>0</v>
      </c>
      <c r="AA550" s="41">
        <f t="shared" si="497"/>
        <v>0</v>
      </c>
      <c r="AB550" s="41">
        <f t="shared" si="498"/>
        <v>0</v>
      </c>
      <c r="AC550" s="41">
        <f t="shared" si="499"/>
        <v>0</v>
      </c>
      <c r="AD550" s="31"/>
      <c r="AE550" s="21">
        <f t="shared" si="500"/>
        <v>0</v>
      </c>
      <c r="AF550" s="21">
        <f t="shared" si="501"/>
        <v>0</v>
      </c>
      <c r="AG550" s="21">
        <f t="shared" si="502"/>
        <v>0</v>
      </c>
      <c r="AI550" s="41">
        <v>21</v>
      </c>
      <c r="AJ550" s="41">
        <f>H550*0.73469387755102</f>
        <v>0</v>
      </c>
      <c r="AK550" s="41">
        <f>H550*(1-0.73469387755102)</f>
        <v>0</v>
      </c>
      <c r="AL550" s="42" t="s">
        <v>13</v>
      </c>
      <c r="AQ550" s="41">
        <f t="shared" si="503"/>
        <v>0</v>
      </c>
      <c r="AR550" s="41">
        <f t="shared" si="504"/>
        <v>0</v>
      </c>
      <c r="AS550" s="41">
        <f t="shared" si="505"/>
        <v>0</v>
      </c>
      <c r="AT550" s="44" t="s">
        <v>2442</v>
      </c>
      <c r="AU550" s="44" t="s">
        <v>2482</v>
      </c>
      <c r="AV550" s="31" t="s">
        <v>2486</v>
      </c>
      <c r="AX550" s="41">
        <f t="shared" si="506"/>
        <v>0</v>
      </c>
      <c r="AY550" s="41">
        <f t="shared" si="507"/>
        <v>0</v>
      </c>
      <c r="AZ550" s="41">
        <v>0</v>
      </c>
      <c r="BA550" s="41">
        <f t="shared" si="508"/>
        <v>0.16</v>
      </c>
      <c r="BC550" s="21">
        <f t="shared" si="509"/>
        <v>0</v>
      </c>
      <c r="BD550" s="21">
        <f t="shared" si="510"/>
        <v>0</v>
      </c>
      <c r="BE550" s="21">
        <f t="shared" si="511"/>
        <v>0</v>
      </c>
      <c r="BF550" s="21" t="s">
        <v>2492</v>
      </c>
      <c r="BG550" s="41">
        <v>766</v>
      </c>
    </row>
    <row r="551" spans="1:59" x14ac:dyDescent="0.3">
      <c r="A551" s="4" t="s">
        <v>531</v>
      </c>
      <c r="B551" s="13"/>
      <c r="C551" s="13" t="s">
        <v>1160</v>
      </c>
      <c r="D551" s="101" t="s">
        <v>1939</v>
      </c>
      <c r="E551" s="102"/>
      <c r="F551" s="13" t="s">
        <v>2391</v>
      </c>
      <c r="G551" s="21">
        <v>0</v>
      </c>
      <c r="H551" s="21">
        <v>0</v>
      </c>
      <c r="I551" s="21">
        <f t="shared" si="488"/>
        <v>0</v>
      </c>
      <c r="J551" s="21">
        <f t="shared" si="489"/>
        <v>0</v>
      </c>
      <c r="K551" s="21">
        <f t="shared" si="490"/>
        <v>0</v>
      </c>
      <c r="L551" s="21">
        <v>0</v>
      </c>
      <c r="M551" s="21">
        <f t="shared" si="491"/>
        <v>0</v>
      </c>
      <c r="N551" s="35" t="s">
        <v>2417</v>
      </c>
      <c r="O551" s="39"/>
      <c r="U551" s="41">
        <f t="shared" si="492"/>
        <v>0</v>
      </c>
      <c r="W551" s="41">
        <f t="shared" si="493"/>
        <v>0</v>
      </c>
      <c r="X551" s="41">
        <f t="shared" si="494"/>
        <v>0</v>
      </c>
      <c r="Y551" s="41">
        <f t="shared" si="495"/>
        <v>0</v>
      </c>
      <c r="Z551" s="41">
        <f t="shared" si="496"/>
        <v>0</v>
      </c>
      <c r="AA551" s="41">
        <f t="shared" si="497"/>
        <v>0</v>
      </c>
      <c r="AB551" s="41">
        <f t="shared" si="498"/>
        <v>0</v>
      </c>
      <c r="AC551" s="41">
        <f t="shared" si="499"/>
        <v>0</v>
      </c>
      <c r="AD551" s="31"/>
      <c r="AE551" s="21">
        <f t="shared" si="500"/>
        <v>0</v>
      </c>
      <c r="AF551" s="21">
        <f t="shared" si="501"/>
        <v>0</v>
      </c>
      <c r="AG551" s="21">
        <f t="shared" si="502"/>
        <v>0</v>
      </c>
      <c r="AI551" s="41">
        <v>21</v>
      </c>
      <c r="AJ551" s="41">
        <f>H551*0</f>
        <v>0</v>
      </c>
      <c r="AK551" s="41">
        <f>H551*(1-0)</f>
        <v>0</v>
      </c>
      <c r="AL551" s="42" t="s">
        <v>13</v>
      </c>
      <c r="AQ551" s="41">
        <f t="shared" si="503"/>
        <v>0</v>
      </c>
      <c r="AR551" s="41">
        <f t="shared" si="504"/>
        <v>0</v>
      </c>
      <c r="AS551" s="41">
        <f t="shared" si="505"/>
        <v>0</v>
      </c>
      <c r="AT551" s="44" t="s">
        <v>2442</v>
      </c>
      <c r="AU551" s="44" t="s">
        <v>2482</v>
      </c>
      <c r="AV551" s="31" t="s">
        <v>2486</v>
      </c>
      <c r="AX551" s="41">
        <f t="shared" si="506"/>
        <v>0</v>
      </c>
      <c r="AY551" s="41">
        <f t="shared" si="507"/>
        <v>0</v>
      </c>
      <c r="AZ551" s="41">
        <v>0</v>
      </c>
      <c r="BA551" s="41">
        <f t="shared" si="508"/>
        <v>0</v>
      </c>
      <c r="BC551" s="21">
        <f t="shared" si="509"/>
        <v>0</v>
      </c>
      <c r="BD551" s="21">
        <f t="shared" si="510"/>
        <v>0</v>
      </c>
      <c r="BE551" s="21">
        <f t="shared" si="511"/>
        <v>0</v>
      </c>
      <c r="BF551" s="21" t="s">
        <v>2492</v>
      </c>
      <c r="BG551" s="41">
        <v>766</v>
      </c>
    </row>
    <row r="552" spans="1:59" x14ac:dyDescent="0.3">
      <c r="A552" s="4" t="s">
        <v>532</v>
      </c>
      <c r="B552" s="13"/>
      <c r="C552" s="13" t="s">
        <v>1161</v>
      </c>
      <c r="D552" s="101" t="s">
        <v>1940</v>
      </c>
      <c r="E552" s="102"/>
      <c r="F552" s="13" t="s">
        <v>2391</v>
      </c>
      <c r="G552" s="21">
        <v>1</v>
      </c>
      <c r="H552" s="21">
        <v>0</v>
      </c>
      <c r="I552" s="21">
        <f t="shared" si="488"/>
        <v>0</v>
      </c>
      <c r="J552" s="21">
        <f t="shared" si="489"/>
        <v>0</v>
      </c>
      <c r="K552" s="21">
        <f t="shared" si="490"/>
        <v>0</v>
      </c>
      <c r="L552" s="21">
        <v>0</v>
      </c>
      <c r="M552" s="21">
        <f t="shared" si="491"/>
        <v>0</v>
      </c>
      <c r="N552" s="35" t="s">
        <v>2417</v>
      </c>
      <c r="O552" s="39"/>
      <c r="U552" s="41">
        <f t="shared" si="492"/>
        <v>0</v>
      </c>
      <c r="W552" s="41">
        <f t="shared" si="493"/>
        <v>0</v>
      </c>
      <c r="X552" s="41">
        <f t="shared" si="494"/>
        <v>0</v>
      </c>
      <c r="Y552" s="41">
        <f t="shared" si="495"/>
        <v>0</v>
      </c>
      <c r="Z552" s="41">
        <f t="shared" si="496"/>
        <v>0</v>
      </c>
      <c r="AA552" s="41">
        <f t="shared" si="497"/>
        <v>0</v>
      </c>
      <c r="AB552" s="41">
        <f t="shared" si="498"/>
        <v>0</v>
      </c>
      <c r="AC552" s="41">
        <f t="shared" si="499"/>
        <v>0</v>
      </c>
      <c r="AD552" s="31"/>
      <c r="AE552" s="21">
        <f t="shared" si="500"/>
        <v>0</v>
      </c>
      <c r="AF552" s="21">
        <f t="shared" si="501"/>
        <v>0</v>
      </c>
      <c r="AG552" s="21">
        <f t="shared" si="502"/>
        <v>0</v>
      </c>
      <c r="AI552" s="41">
        <v>21</v>
      </c>
      <c r="AJ552" s="41">
        <f>H552*0.696428571428571</f>
        <v>0</v>
      </c>
      <c r="AK552" s="41">
        <f>H552*(1-0.696428571428571)</f>
        <v>0</v>
      </c>
      <c r="AL552" s="42" t="s">
        <v>13</v>
      </c>
      <c r="AQ552" s="41">
        <f t="shared" si="503"/>
        <v>0</v>
      </c>
      <c r="AR552" s="41">
        <f t="shared" si="504"/>
        <v>0</v>
      </c>
      <c r="AS552" s="41">
        <f t="shared" si="505"/>
        <v>0</v>
      </c>
      <c r="AT552" s="44" t="s">
        <v>2442</v>
      </c>
      <c r="AU552" s="44" t="s">
        <v>2482</v>
      </c>
      <c r="AV552" s="31" t="s">
        <v>2486</v>
      </c>
      <c r="AX552" s="41">
        <f t="shared" si="506"/>
        <v>0</v>
      </c>
      <c r="AY552" s="41">
        <f t="shared" si="507"/>
        <v>0</v>
      </c>
      <c r="AZ552" s="41">
        <v>0</v>
      </c>
      <c r="BA552" s="41">
        <f t="shared" si="508"/>
        <v>0</v>
      </c>
      <c r="BC552" s="21">
        <f t="shared" si="509"/>
        <v>0</v>
      </c>
      <c r="BD552" s="21">
        <f t="shared" si="510"/>
        <v>0</v>
      </c>
      <c r="BE552" s="21">
        <f t="shared" si="511"/>
        <v>0</v>
      </c>
      <c r="BF552" s="21" t="s">
        <v>2492</v>
      </c>
      <c r="BG552" s="41">
        <v>766</v>
      </c>
    </row>
    <row r="553" spans="1:59" x14ac:dyDescent="0.3">
      <c r="A553" s="4" t="s">
        <v>533</v>
      </c>
      <c r="B553" s="13"/>
      <c r="C553" s="13" t="s">
        <v>1160</v>
      </c>
      <c r="D553" s="101" t="s">
        <v>1941</v>
      </c>
      <c r="E553" s="102"/>
      <c r="F553" s="13" t="s">
        <v>2391</v>
      </c>
      <c r="G553" s="21">
        <v>1</v>
      </c>
      <c r="H553" s="21">
        <v>0</v>
      </c>
      <c r="I553" s="21">
        <f t="shared" si="488"/>
        <v>0</v>
      </c>
      <c r="J553" s="21">
        <f t="shared" si="489"/>
        <v>0</v>
      </c>
      <c r="K553" s="21">
        <f t="shared" si="490"/>
        <v>0</v>
      </c>
      <c r="L553" s="21">
        <v>0</v>
      </c>
      <c r="M553" s="21">
        <f t="shared" si="491"/>
        <v>0</v>
      </c>
      <c r="N553" s="35" t="s">
        <v>2417</v>
      </c>
      <c r="O553" s="39"/>
      <c r="U553" s="41">
        <f t="shared" si="492"/>
        <v>0</v>
      </c>
      <c r="W553" s="41">
        <f t="shared" si="493"/>
        <v>0</v>
      </c>
      <c r="X553" s="41">
        <f t="shared" si="494"/>
        <v>0</v>
      </c>
      <c r="Y553" s="41">
        <f t="shared" si="495"/>
        <v>0</v>
      </c>
      <c r="Z553" s="41">
        <f t="shared" si="496"/>
        <v>0</v>
      </c>
      <c r="AA553" s="41">
        <f t="shared" si="497"/>
        <v>0</v>
      </c>
      <c r="AB553" s="41">
        <f t="shared" si="498"/>
        <v>0</v>
      </c>
      <c r="AC553" s="41">
        <f t="shared" si="499"/>
        <v>0</v>
      </c>
      <c r="AD553" s="31"/>
      <c r="AE553" s="21">
        <f t="shared" si="500"/>
        <v>0</v>
      </c>
      <c r="AF553" s="21">
        <f t="shared" si="501"/>
        <v>0</v>
      </c>
      <c r="AG553" s="21">
        <f t="shared" si="502"/>
        <v>0</v>
      </c>
      <c r="AI553" s="41">
        <v>21</v>
      </c>
      <c r="AJ553" s="41">
        <f>H553*0.681818181818182</f>
        <v>0</v>
      </c>
      <c r="AK553" s="41">
        <f>H553*(1-0.681818181818182)</f>
        <v>0</v>
      </c>
      <c r="AL553" s="42" t="s">
        <v>13</v>
      </c>
      <c r="AQ553" s="41">
        <f t="shared" si="503"/>
        <v>0</v>
      </c>
      <c r="AR553" s="41">
        <f t="shared" si="504"/>
        <v>0</v>
      </c>
      <c r="AS553" s="41">
        <f t="shared" si="505"/>
        <v>0</v>
      </c>
      <c r="AT553" s="44" t="s">
        <v>2442</v>
      </c>
      <c r="AU553" s="44" t="s">
        <v>2482</v>
      </c>
      <c r="AV553" s="31" t="s">
        <v>2486</v>
      </c>
      <c r="AX553" s="41">
        <f t="shared" si="506"/>
        <v>0</v>
      </c>
      <c r="AY553" s="41">
        <f t="shared" si="507"/>
        <v>0</v>
      </c>
      <c r="AZ553" s="41">
        <v>0</v>
      </c>
      <c r="BA553" s="41">
        <f t="shared" si="508"/>
        <v>0</v>
      </c>
      <c r="BC553" s="21">
        <f t="shared" si="509"/>
        <v>0</v>
      </c>
      <c r="BD553" s="21">
        <f t="shared" si="510"/>
        <v>0</v>
      </c>
      <c r="BE553" s="21">
        <f t="shared" si="511"/>
        <v>0</v>
      </c>
      <c r="BF553" s="21" t="s">
        <v>2492</v>
      </c>
      <c r="BG553" s="41">
        <v>766</v>
      </c>
    </row>
    <row r="554" spans="1:59" x14ac:dyDescent="0.3">
      <c r="A554" s="4" t="s">
        <v>534</v>
      </c>
      <c r="B554" s="13"/>
      <c r="C554" s="13" t="s">
        <v>1162</v>
      </c>
      <c r="D554" s="101" t="s">
        <v>1942</v>
      </c>
      <c r="E554" s="102"/>
      <c r="F554" s="13" t="s">
        <v>2391</v>
      </c>
      <c r="G554" s="21">
        <v>1</v>
      </c>
      <c r="H554" s="21">
        <v>0</v>
      </c>
      <c r="I554" s="21">
        <f t="shared" si="488"/>
        <v>0</v>
      </c>
      <c r="J554" s="21">
        <f t="shared" si="489"/>
        <v>0</v>
      </c>
      <c r="K554" s="21">
        <f t="shared" si="490"/>
        <v>0</v>
      </c>
      <c r="L554" s="21">
        <v>0</v>
      </c>
      <c r="M554" s="21">
        <f t="shared" si="491"/>
        <v>0</v>
      </c>
      <c r="N554" s="35" t="s">
        <v>2417</v>
      </c>
      <c r="O554" s="39"/>
      <c r="U554" s="41">
        <f t="shared" si="492"/>
        <v>0</v>
      </c>
      <c r="W554" s="41">
        <f t="shared" si="493"/>
        <v>0</v>
      </c>
      <c r="X554" s="41">
        <f t="shared" si="494"/>
        <v>0</v>
      </c>
      <c r="Y554" s="41">
        <f t="shared" si="495"/>
        <v>0</v>
      </c>
      <c r="Z554" s="41">
        <f t="shared" si="496"/>
        <v>0</v>
      </c>
      <c r="AA554" s="41">
        <f t="shared" si="497"/>
        <v>0</v>
      </c>
      <c r="AB554" s="41">
        <f t="shared" si="498"/>
        <v>0</v>
      </c>
      <c r="AC554" s="41">
        <f t="shared" si="499"/>
        <v>0</v>
      </c>
      <c r="AD554" s="31"/>
      <c r="AE554" s="21">
        <f t="shared" si="500"/>
        <v>0</v>
      </c>
      <c r="AF554" s="21">
        <f t="shared" si="501"/>
        <v>0</v>
      </c>
      <c r="AG554" s="21">
        <f t="shared" si="502"/>
        <v>0</v>
      </c>
      <c r="AI554" s="41">
        <v>21</v>
      </c>
      <c r="AJ554" s="41">
        <f>H554*0.841176895542653</f>
        <v>0</v>
      </c>
      <c r="AK554" s="41">
        <f>H554*(1-0.841176895542653)</f>
        <v>0</v>
      </c>
      <c r="AL554" s="42" t="s">
        <v>13</v>
      </c>
      <c r="AQ554" s="41">
        <f t="shared" si="503"/>
        <v>0</v>
      </c>
      <c r="AR554" s="41">
        <f t="shared" si="504"/>
        <v>0</v>
      </c>
      <c r="AS554" s="41">
        <f t="shared" si="505"/>
        <v>0</v>
      </c>
      <c r="AT554" s="44" t="s">
        <v>2442</v>
      </c>
      <c r="AU554" s="44" t="s">
        <v>2482</v>
      </c>
      <c r="AV554" s="31" t="s">
        <v>2486</v>
      </c>
      <c r="AX554" s="41">
        <f t="shared" si="506"/>
        <v>0</v>
      </c>
      <c r="AY554" s="41">
        <f t="shared" si="507"/>
        <v>0</v>
      </c>
      <c r="AZ554" s="41">
        <v>0</v>
      </c>
      <c r="BA554" s="41">
        <f t="shared" si="508"/>
        <v>0</v>
      </c>
      <c r="BC554" s="21">
        <f t="shared" si="509"/>
        <v>0</v>
      </c>
      <c r="BD554" s="21">
        <f t="shared" si="510"/>
        <v>0</v>
      </c>
      <c r="BE554" s="21">
        <f t="shared" si="511"/>
        <v>0</v>
      </c>
      <c r="BF554" s="21" t="s">
        <v>2492</v>
      </c>
      <c r="BG554" s="41">
        <v>766</v>
      </c>
    </row>
    <row r="555" spans="1:59" x14ac:dyDescent="0.3">
      <c r="A555" s="5"/>
      <c r="B555" s="14"/>
      <c r="C555" s="14" t="s">
        <v>1163</v>
      </c>
      <c r="D555" s="103" t="s">
        <v>1943</v>
      </c>
      <c r="E555" s="104"/>
      <c r="F555" s="19" t="s">
        <v>6</v>
      </c>
      <c r="G555" s="19" t="s">
        <v>6</v>
      </c>
      <c r="H555" s="19" t="s">
        <v>6</v>
      </c>
      <c r="I555" s="47">
        <f>SUM(I556:I569)</f>
        <v>0</v>
      </c>
      <c r="J555" s="47">
        <f>SUM(J556:J569)</f>
        <v>0</v>
      </c>
      <c r="K555" s="47">
        <f>SUM(K556:K569)</f>
        <v>0</v>
      </c>
      <c r="L555" s="31"/>
      <c r="M555" s="47">
        <f>SUM(M556:M569)</f>
        <v>1.5945799999999999</v>
      </c>
      <c r="N555" s="36"/>
      <c r="O555" s="39"/>
      <c r="AD555" s="31"/>
      <c r="AN555" s="47">
        <f>SUM(AE556:AE569)</f>
        <v>0</v>
      </c>
      <c r="AO555" s="47">
        <f>SUM(AF556:AF569)</f>
        <v>0</v>
      </c>
      <c r="AP555" s="47">
        <f>SUM(AG556:AG569)</f>
        <v>0</v>
      </c>
    </row>
    <row r="556" spans="1:59" x14ac:dyDescent="0.3">
      <c r="A556" s="4" t="s">
        <v>535</v>
      </c>
      <c r="B556" s="13"/>
      <c r="C556" s="13" t="s">
        <v>1164</v>
      </c>
      <c r="D556" s="101" t="s">
        <v>1944</v>
      </c>
      <c r="E556" s="102"/>
      <c r="F556" s="13" t="s">
        <v>2391</v>
      </c>
      <c r="G556" s="21">
        <v>176</v>
      </c>
      <c r="H556" s="21">
        <v>0</v>
      </c>
      <c r="I556" s="21">
        <f t="shared" ref="I556:I569" si="512">G556*AJ556</f>
        <v>0</v>
      </c>
      <c r="J556" s="21">
        <f t="shared" ref="J556:J569" si="513">G556*AK556</f>
        <v>0</v>
      </c>
      <c r="K556" s="21">
        <f t="shared" ref="K556:K569" si="514">G556*H556</f>
        <v>0</v>
      </c>
      <c r="L556" s="21">
        <v>5.0000000000000001E-3</v>
      </c>
      <c r="M556" s="21">
        <f t="shared" ref="M556:M569" si="515">G556*L556</f>
        <v>0.88</v>
      </c>
      <c r="N556" s="35" t="s">
        <v>2418</v>
      </c>
      <c r="O556" s="39"/>
      <c r="U556" s="41">
        <f t="shared" ref="U556:U569" si="516">IF(AL556="5",BE556,0)</f>
        <v>0</v>
      </c>
      <c r="W556" s="41">
        <f t="shared" ref="W556:W569" si="517">IF(AL556="1",BC556,0)</f>
        <v>0</v>
      </c>
      <c r="X556" s="41">
        <f t="shared" ref="X556:X569" si="518">IF(AL556="1",BD556,0)</f>
        <v>0</v>
      </c>
      <c r="Y556" s="41">
        <f t="shared" ref="Y556:Y569" si="519">IF(AL556="7",BC556,0)</f>
        <v>0</v>
      </c>
      <c r="Z556" s="41">
        <f t="shared" ref="Z556:Z569" si="520">IF(AL556="7",BD556,0)</f>
        <v>0</v>
      </c>
      <c r="AA556" s="41">
        <f t="shared" ref="AA556:AA569" si="521">IF(AL556="2",BC556,0)</f>
        <v>0</v>
      </c>
      <c r="AB556" s="41">
        <f t="shared" ref="AB556:AB569" si="522">IF(AL556="2",BD556,0)</f>
        <v>0</v>
      </c>
      <c r="AC556" s="41">
        <f t="shared" ref="AC556:AC569" si="523">IF(AL556="0",BE556,0)</f>
        <v>0</v>
      </c>
      <c r="AD556" s="31"/>
      <c r="AE556" s="21">
        <f t="shared" ref="AE556:AE569" si="524">IF(AI556=0,K556,0)</f>
        <v>0</v>
      </c>
      <c r="AF556" s="21">
        <f t="shared" ref="AF556:AF569" si="525">IF(AI556=15,K556,0)</f>
        <v>0</v>
      </c>
      <c r="AG556" s="21">
        <f t="shared" ref="AG556:AG569" si="526">IF(AI556=21,K556,0)</f>
        <v>0</v>
      </c>
      <c r="AI556" s="41">
        <v>21</v>
      </c>
      <c r="AJ556" s="41">
        <f>H556*1</f>
        <v>0</v>
      </c>
      <c r="AK556" s="41">
        <f>H556*(1-1)</f>
        <v>0</v>
      </c>
      <c r="AL556" s="42" t="s">
        <v>13</v>
      </c>
      <c r="AQ556" s="41">
        <f t="shared" ref="AQ556:AQ569" si="527">AR556+AS556</f>
        <v>0</v>
      </c>
      <c r="AR556" s="41">
        <f t="shared" ref="AR556:AR569" si="528">G556*AJ556</f>
        <v>0</v>
      </c>
      <c r="AS556" s="41">
        <f t="shared" ref="AS556:AS569" si="529">G556*AK556</f>
        <v>0</v>
      </c>
      <c r="AT556" s="44" t="s">
        <v>2443</v>
      </c>
      <c r="AU556" s="44" t="s">
        <v>2482</v>
      </c>
      <c r="AV556" s="31" t="s">
        <v>2486</v>
      </c>
      <c r="AX556" s="41">
        <f t="shared" ref="AX556:AX569" si="530">AR556+AS556</f>
        <v>0</v>
      </c>
      <c r="AY556" s="41">
        <f t="shared" ref="AY556:AY569" si="531">H556/(100-AZ556)*100</f>
        <v>0</v>
      </c>
      <c r="AZ556" s="41">
        <v>0</v>
      </c>
      <c r="BA556" s="41">
        <f t="shared" ref="BA556:BA569" si="532">M556</f>
        <v>0.88</v>
      </c>
      <c r="BC556" s="21">
        <f t="shared" ref="BC556:BC569" si="533">G556*AJ556</f>
        <v>0</v>
      </c>
      <c r="BD556" s="21">
        <f t="shared" ref="BD556:BD569" si="534">G556*AK556</f>
        <v>0</v>
      </c>
      <c r="BE556" s="21">
        <f t="shared" ref="BE556:BE569" si="535">G556*H556</f>
        <v>0</v>
      </c>
      <c r="BF556" s="21" t="s">
        <v>2492</v>
      </c>
      <c r="BG556" s="41">
        <v>7667</v>
      </c>
    </row>
    <row r="557" spans="1:59" x14ac:dyDescent="0.3">
      <c r="A557" s="4" t="s">
        <v>536</v>
      </c>
      <c r="B557" s="13"/>
      <c r="C557" s="13" t="s">
        <v>1165</v>
      </c>
      <c r="D557" s="101" t="s">
        <v>1945</v>
      </c>
      <c r="E557" s="102"/>
      <c r="F557" s="13" t="s">
        <v>2391</v>
      </c>
      <c r="G557" s="21">
        <v>0</v>
      </c>
      <c r="H557" s="21">
        <v>0</v>
      </c>
      <c r="I557" s="21">
        <f t="shared" si="512"/>
        <v>0</v>
      </c>
      <c r="J557" s="21">
        <f t="shared" si="513"/>
        <v>0</v>
      </c>
      <c r="K557" s="21">
        <f t="shared" si="514"/>
        <v>0</v>
      </c>
      <c r="L557" s="21">
        <v>7.0000000000000001E-3</v>
      </c>
      <c r="M557" s="21">
        <f t="shared" si="515"/>
        <v>0</v>
      </c>
      <c r="N557" s="35" t="s">
        <v>2418</v>
      </c>
      <c r="O557" s="39"/>
      <c r="U557" s="41">
        <f t="shared" si="516"/>
        <v>0</v>
      </c>
      <c r="W557" s="41">
        <f t="shared" si="517"/>
        <v>0</v>
      </c>
      <c r="X557" s="41">
        <f t="shared" si="518"/>
        <v>0</v>
      </c>
      <c r="Y557" s="41">
        <f t="shared" si="519"/>
        <v>0</v>
      </c>
      <c r="Z557" s="41">
        <f t="shared" si="520"/>
        <v>0</v>
      </c>
      <c r="AA557" s="41">
        <f t="shared" si="521"/>
        <v>0</v>
      </c>
      <c r="AB557" s="41">
        <f t="shared" si="522"/>
        <v>0</v>
      </c>
      <c r="AC557" s="41">
        <f t="shared" si="523"/>
        <v>0</v>
      </c>
      <c r="AD557" s="31"/>
      <c r="AE557" s="21">
        <f t="shared" si="524"/>
        <v>0</v>
      </c>
      <c r="AF557" s="21">
        <f t="shared" si="525"/>
        <v>0</v>
      </c>
      <c r="AG557" s="21">
        <f t="shared" si="526"/>
        <v>0</v>
      </c>
      <c r="AI557" s="41">
        <v>21</v>
      </c>
      <c r="AJ557" s="41">
        <f>H557*0</f>
        <v>0</v>
      </c>
      <c r="AK557" s="41">
        <f>H557*(1-0)</f>
        <v>0</v>
      </c>
      <c r="AL557" s="42" t="s">
        <v>13</v>
      </c>
      <c r="AQ557" s="41">
        <f t="shared" si="527"/>
        <v>0</v>
      </c>
      <c r="AR557" s="41">
        <f t="shared" si="528"/>
        <v>0</v>
      </c>
      <c r="AS557" s="41">
        <f t="shared" si="529"/>
        <v>0</v>
      </c>
      <c r="AT557" s="44" t="s">
        <v>2443</v>
      </c>
      <c r="AU557" s="44" t="s">
        <v>2482</v>
      </c>
      <c r="AV557" s="31" t="s">
        <v>2486</v>
      </c>
      <c r="AX557" s="41">
        <f t="shared" si="530"/>
        <v>0</v>
      </c>
      <c r="AY557" s="41">
        <f t="shared" si="531"/>
        <v>0</v>
      </c>
      <c r="AZ557" s="41">
        <v>0</v>
      </c>
      <c r="BA557" s="41">
        <f t="shared" si="532"/>
        <v>0</v>
      </c>
      <c r="BC557" s="21">
        <f t="shared" si="533"/>
        <v>0</v>
      </c>
      <c r="BD557" s="21">
        <f t="shared" si="534"/>
        <v>0</v>
      </c>
      <c r="BE557" s="21">
        <f t="shared" si="535"/>
        <v>0</v>
      </c>
      <c r="BF557" s="21" t="s">
        <v>2492</v>
      </c>
      <c r="BG557" s="41">
        <v>7667</v>
      </c>
    </row>
    <row r="558" spans="1:59" x14ac:dyDescent="0.3">
      <c r="A558" s="4" t="s">
        <v>537</v>
      </c>
      <c r="B558" s="13"/>
      <c r="C558" s="13" t="s">
        <v>1166</v>
      </c>
      <c r="D558" s="101" t="s">
        <v>1946</v>
      </c>
      <c r="E558" s="102"/>
      <c r="F558" s="13" t="s">
        <v>2391</v>
      </c>
      <c r="G558" s="21">
        <v>49</v>
      </c>
      <c r="H558" s="21">
        <v>0</v>
      </c>
      <c r="I558" s="21">
        <f t="shared" si="512"/>
        <v>0</v>
      </c>
      <c r="J558" s="21">
        <f t="shared" si="513"/>
        <v>0</v>
      </c>
      <c r="K558" s="21">
        <f t="shared" si="514"/>
        <v>0</v>
      </c>
      <c r="L558" s="21">
        <v>1.2E-2</v>
      </c>
      <c r="M558" s="21">
        <f t="shared" si="515"/>
        <v>0.58799999999999997</v>
      </c>
      <c r="N558" s="35" t="s">
        <v>2418</v>
      </c>
      <c r="O558" s="39"/>
      <c r="U558" s="41">
        <f t="shared" si="516"/>
        <v>0</v>
      </c>
      <c r="W558" s="41">
        <f t="shared" si="517"/>
        <v>0</v>
      </c>
      <c r="X558" s="41">
        <f t="shared" si="518"/>
        <v>0</v>
      </c>
      <c r="Y558" s="41">
        <f t="shared" si="519"/>
        <v>0</v>
      </c>
      <c r="Z558" s="41">
        <f t="shared" si="520"/>
        <v>0</v>
      </c>
      <c r="AA558" s="41">
        <f t="shared" si="521"/>
        <v>0</v>
      </c>
      <c r="AB558" s="41">
        <f t="shared" si="522"/>
        <v>0</v>
      </c>
      <c r="AC558" s="41">
        <f t="shared" si="523"/>
        <v>0</v>
      </c>
      <c r="AD558" s="31"/>
      <c r="AE558" s="21">
        <f t="shared" si="524"/>
        <v>0</v>
      </c>
      <c r="AF558" s="21">
        <f t="shared" si="525"/>
        <v>0</v>
      </c>
      <c r="AG558" s="21">
        <f t="shared" si="526"/>
        <v>0</v>
      </c>
      <c r="AI558" s="41">
        <v>21</v>
      </c>
      <c r="AJ558" s="41">
        <f>H558*1</f>
        <v>0</v>
      </c>
      <c r="AK558" s="41">
        <f>H558*(1-1)</f>
        <v>0</v>
      </c>
      <c r="AL558" s="42" t="s">
        <v>13</v>
      </c>
      <c r="AQ558" s="41">
        <f t="shared" si="527"/>
        <v>0</v>
      </c>
      <c r="AR558" s="41">
        <f t="shared" si="528"/>
        <v>0</v>
      </c>
      <c r="AS558" s="41">
        <f t="shared" si="529"/>
        <v>0</v>
      </c>
      <c r="AT558" s="44" t="s">
        <v>2443</v>
      </c>
      <c r="AU558" s="44" t="s">
        <v>2482</v>
      </c>
      <c r="AV558" s="31" t="s">
        <v>2486</v>
      </c>
      <c r="AX558" s="41">
        <f t="shared" si="530"/>
        <v>0</v>
      </c>
      <c r="AY558" s="41">
        <f t="shared" si="531"/>
        <v>0</v>
      </c>
      <c r="AZ558" s="41">
        <v>0</v>
      </c>
      <c r="BA558" s="41">
        <f t="shared" si="532"/>
        <v>0.58799999999999997</v>
      </c>
      <c r="BC558" s="21">
        <f t="shared" si="533"/>
        <v>0</v>
      </c>
      <c r="BD558" s="21">
        <f t="shared" si="534"/>
        <v>0</v>
      </c>
      <c r="BE558" s="21">
        <f t="shared" si="535"/>
        <v>0</v>
      </c>
      <c r="BF558" s="21" t="s">
        <v>2492</v>
      </c>
      <c r="BG558" s="41">
        <v>7667</v>
      </c>
    </row>
    <row r="559" spans="1:59" x14ac:dyDescent="0.3">
      <c r="A559" s="4" t="s">
        <v>538</v>
      </c>
      <c r="B559" s="13"/>
      <c r="C559" s="13" t="s">
        <v>1167</v>
      </c>
      <c r="D559" s="101" t="s">
        <v>1947</v>
      </c>
      <c r="E559" s="102"/>
      <c r="F559" s="13" t="s">
        <v>2391</v>
      </c>
      <c r="G559" s="21">
        <v>6</v>
      </c>
      <c r="H559" s="21">
        <v>0</v>
      </c>
      <c r="I559" s="21">
        <f t="shared" si="512"/>
        <v>0</v>
      </c>
      <c r="J559" s="21">
        <f t="shared" si="513"/>
        <v>0</v>
      </c>
      <c r="K559" s="21">
        <f t="shared" si="514"/>
        <v>0</v>
      </c>
      <c r="L559" s="21">
        <v>1.8499999999999999E-2</v>
      </c>
      <c r="M559" s="21">
        <f t="shared" si="515"/>
        <v>0.11099999999999999</v>
      </c>
      <c r="N559" s="35" t="s">
        <v>2418</v>
      </c>
      <c r="O559" s="39"/>
      <c r="U559" s="41">
        <f t="shared" si="516"/>
        <v>0</v>
      </c>
      <c r="W559" s="41">
        <f t="shared" si="517"/>
        <v>0</v>
      </c>
      <c r="X559" s="41">
        <f t="shared" si="518"/>
        <v>0</v>
      </c>
      <c r="Y559" s="41">
        <f t="shared" si="519"/>
        <v>0</v>
      </c>
      <c r="Z559" s="41">
        <f t="shared" si="520"/>
        <v>0</v>
      </c>
      <c r="AA559" s="41">
        <f t="shared" si="521"/>
        <v>0</v>
      </c>
      <c r="AB559" s="41">
        <f t="shared" si="522"/>
        <v>0</v>
      </c>
      <c r="AC559" s="41">
        <f t="shared" si="523"/>
        <v>0</v>
      </c>
      <c r="AD559" s="31"/>
      <c r="AE559" s="21">
        <f t="shared" si="524"/>
        <v>0</v>
      </c>
      <c r="AF559" s="21">
        <f t="shared" si="525"/>
        <v>0</v>
      </c>
      <c r="AG559" s="21">
        <f t="shared" si="526"/>
        <v>0</v>
      </c>
      <c r="AI559" s="41">
        <v>21</v>
      </c>
      <c r="AJ559" s="41">
        <f>H559*1</f>
        <v>0</v>
      </c>
      <c r="AK559" s="41">
        <f>H559*(1-1)</f>
        <v>0</v>
      </c>
      <c r="AL559" s="42" t="s">
        <v>13</v>
      </c>
      <c r="AQ559" s="41">
        <f t="shared" si="527"/>
        <v>0</v>
      </c>
      <c r="AR559" s="41">
        <f t="shared" si="528"/>
        <v>0</v>
      </c>
      <c r="AS559" s="41">
        <f t="shared" si="529"/>
        <v>0</v>
      </c>
      <c r="AT559" s="44" t="s">
        <v>2443</v>
      </c>
      <c r="AU559" s="44" t="s">
        <v>2482</v>
      </c>
      <c r="AV559" s="31" t="s">
        <v>2486</v>
      </c>
      <c r="AX559" s="41">
        <f t="shared" si="530"/>
        <v>0</v>
      </c>
      <c r="AY559" s="41">
        <f t="shared" si="531"/>
        <v>0</v>
      </c>
      <c r="AZ559" s="41">
        <v>0</v>
      </c>
      <c r="BA559" s="41">
        <f t="shared" si="532"/>
        <v>0.11099999999999999</v>
      </c>
      <c r="BC559" s="21">
        <f t="shared" si="533"/>
        <v>0</v>
      </c>
      <c r="BD559" s="21">
        <f t="shared" si="534"/>
        <v>0</v>
      </c>
      <c r="BE559" s="21">
        <f t="shared" si="535"/>
        <v>0</v>
      </c>
      <c r="BF559" s="21" t="s">
        <v>2492</v>
      </c>
      <c r="BG559" s="41">
        <v>7667</v>
      </c>
    </row>
    <row r="560" spans="1:59" x14ac:dyDescent="0.3">
      <c r="A560" s="4" t="s">
        <v>539</v>
      </c>
      <c r="B560" s="13"/>
      <c r="C560" s="13" t="s">
        <v>1168</v>
      </c>
      <c r="D560" s="101" t="s">
        <v>1948</v>
      </c>
      <c r="E560" s="102"/>
      <c r="F560" s="13" t="s">
        <v>2391</v>
      </c>
      <c r="G560" s="21">
        <v>4</v>
      </c>
      <c r="H560" s="21">
        <v>0</v>
      </c>
      <c r="I560" s="21">
        <f t="shared" si="512"/>
        <v>0</v>
      </c>
      <c r="J560" s="21">
        <f t="shared" si="513"/>
        <v>0</v>
      </c>
      <c r="K560" s="21">
        <f t="shared" si="514"/>
        <v>0</v>
      </c>
      <c r="L560" s="21">
        <v>1.9000000000000001E-4</v>
      </c>
      <c r="M560" s="21">
        <f t="shared" si="515"/>
        <v>7.6000000000000004E-4</v>
      </c>
      <c r="N560" s="35" t="s">
        <v>2417</v>
      </c>
      <c r="O560" s="39"/>
      <c r="U560" s="41">
        <f t="shared" si="516"/>
        <v>0</v>
      </c>
      <c r="W560" s="41">
        <f t="shared" si="517"/>
        <v>0</v>
      </c>
      <c r="X560" s="41">
        <f t="shared" si="518"/>
        <v>0</v>
      </c>
      <c r="Y560" s="41">
        <f t="shared" si="519"/>
        <v>0</v>
      </c>
      <c r="Z560" s="41">
        <f t="shared" si="520"/>
        <v>0</v>
      </c>
      <c r="AA560" s="41">
        <f t="shared" si="521"/>
        <v>0</v>
      </c>
      <c r="AB560" s="41">
        <f t="shared" si="522"/>
        <v>0</v>
      </c>
      <c r="AC560" s="41">
        <f t="shared" si="523"/>
        <v>0</v>
      </c>
      <c r="AD560" s="31"/>
      <c r="AE560" s="21">
        <f t="shared" si="524"/>
        <v>0</v>
      </c>
      <c r="AF560" s="21">
        <f t="shared" si="525"/>
        <v>0</v>
      </c>
      <c r="AG560" s="21">
        <f t="shared" si="526"/>
        <v>0</v>
      </c>
      <c r="AI560" s="41">
        <v>21</v>
      </c>
      <c r="AJ560" s="41">
        <f>H560*1</f>
        <v>0</v>
      </c>
      <c r="AK560" s="41">
        <f>H560*(1-1)</f>
        <v>0</v>
      </c>
      <c r="AL560" s="42" t="s">
        <v>13</v>
      </c>
      <c r="AQ560" s="41">
        <f t="shared" si="527"/>
        <v>0</v>
      </c>
      <c r="AR560" s="41">
        <f t="shared" si="528"/>
        <v>0</v>
      </c>
      <c r="AS560" s="41">
        <f t="shared" si="529"/>
        <v>0</v>
      </c>
      <c r="AT560" s="44" t="s">
        <v>2443</v>
      </c>
      <c r="AU560" s="44" t="s">
        <v>2482</v>
      </c>
      <c r="AV560" s="31" t="s">
        <v>2486</v>
      </c>
      <c r="AX560" s="41">
        <f t="shared" si="530"/>
        <v>0</v>
      </c>
      <c r="AY560" s="41">
        <f t="shared" si="531"/>
        <v>0</v>
      </c>
      <c r="AZ560" s="41">
        <v>0</v>
      </c>
      <c r="BA560" s="41">
        <f t="shared" si="532"/>
        <v>7.6000000000000004E-4</v>
      </c>
      <c r="BC560" s="21">
        <f t="shared" si="533"/>
        <v>0</v>
      </c>
      <c r="BD560" s="21">
        <f t="shared" si="534"/>
        <v>0</v>
      </c>
      <c r="BE560" s="21">
        <f t="shared" si="535"/>
        <v>0</v>
      </c>
      <c r="BF560" s="21" t="s">
        <v>2492</v>
      </c>
      <c r="BG560" s="41">
        <v>7667</v>
      </c>
    </row>
    <row r="561" spans="1:59" x14ac:dyDescent="0.3">
      <c r="A561" s="4" t="s">
        <v>540</v>
      </c>
      <c r="B561" s="13"/>
      <c r="C561" s="13" t="s">
        <v>1169</v>
      </c>
      <c r="D561" s="101" t="s">
        <v>1949</v>
      </c>
      <c r="E561" s="102"/>
      <c r="F561" s="13" t="s">
        <v>2391</v>
      </c>
      <c r="G561" s="21">
        <v>28</v>
      </c>
      <c r="H561" s="21">
        <v>0</v>
      </c>
      <c r="I561" s="21">
        <f t="shared" si="512"/>
        <v>0</v>
      </c>
      <c r="J561" s="21">
        <f t="shared" si="513"/>
        <v>0</v>
      </c>
      <c r="K561" s="21">
        <f t="shared" si="514"/>
        <v>0</v>
      </c>
      <c r="L561" s="21">
        <v>1.9000000000000001E-4</v>
      </c>
      <c r="M561" s="21">
        <f t="shared" si="515"/>
        <v>5.3200000000000001E-3</v>
      </c>
      <c r="N561" s="35" t="s">
        <v>2417</v>
      </c>
      <c r="O561" s="39"/>
      <c r="U561" s="41">
        <f t="shared" si="516"/>
        <v>0</v>
      </c>
      <c r="W561" s="41">
        <f t="shared" si="517"/>
        <v>0</v>
      </c>
      <c r="X561" s="41">
        <f t="shared" si="518"/>
        <v>0</v>
      </c>
      <c r="Y561" s="41">
        <f t="shared" si="519"/>
        <v>0</v>
      </c>
      <c r="Z561" s="41">
        <f t="shared" si="520"/>
        <v>0</v>
      </c>
      <c r="AA561" s="41">
        <f t="shared" si="521"/>
        <v>0</v>
      </c>
      <c r="AB561" s="41">
        <f t="shared" si="522"/>
        <v>0</v>
      </c>
      <c r="AC561" s="41">
        <f t="shared" si="523"/>
        <v>0</v>
      </c>
      <c r="AD561" s="31"/>
      <c r="AE561" s="21">
        <f t="shared" si="524"/>
        <v>0</v>
      </c>
      <c r="AF561" s="21">
        <f t="shared" si="525"/>
        <v>0</v>
      </c>
      <c r="AG561" s="21">
        <f t="shared" si="526"/>
        <v>0</v>
      </c>
      <c r="AI561" s="41">
        <v>21</v>
      </c>
      <c r="AJ561" s="41">
        <f>H561*1</f>
        <v>0</v>
      </c>
      <c r="AK561" s="41">
        <f>H561*(1-1)</f>
        <v>0</v>
      </c>
      <c r="AL561" s="42" t="s">
        <v>13</v>
      </c>
      <c r="AQ561" s="41">
        <f t="shared" si="527"/>
        <v>0</v>
      </c>
      <c r="AR561" s="41">
        <f t="shared" si="528"/>
        <v>0</v>
      </c>
      <c r="AS561" s="41">
        <f t="shared" si="529"/>
        <v>0</v>
      </c>
      <c r="AT561" s="44" t="s">
        <v>2443</v>
      </c>
      <c r="AU561" s="44" t="s">
        <v>2482</v>
      </c>
      <c r="AV561" s="31" t="s">
        <v>2486</v>
      </c>
      <c r="AX561" s="41">
        <f t="shared" si="530"/>
        <v>0</v>
      </c>
      <c r="AY561" s="41">
        <f t="shared" si="531"/>
        <v>0</v>
      </c>
      <c r="AZ561" s="41">
        <v>0</v>
      </c>
      <c r="BA561" s="41">
        <f t="shared" si="532"/>
        <v>5.3200000000000001E-3</v>
      </c>
      <c r="BC561" s="21">
        <f t="shared" si="533"/>
        <v>0</v>
      </c>
      <c r="BD561" s="21">
        <f t="shared" si="534"/>
        <v>0</v>
      </c>
      <c r="BE561" s="21">
        <f t="shared" si="535"/>
        <v>0</v>
      </c>
      <c r="BF561" s="21" t="s">
        <v>2492</v>
      </c>
      <c r="BG561" s="41">
        <v>7667</v>
      </c>
    </row>
    <row r="562" spans="1:59" x14ac:dyDescent="0.3">
      <c r="A562" s="4" t="s">
        <v>541</v>
      </c>
      <c r="B562" s="13"/>
      <c r="C562" s="13" t="s">
        <v>1170</v>
      </c>
      <c r="D562" s="101" t="s">
        <v>1950</v>
      </c>
      <c r="E562" s="102"/>
      <c r="F562" s="13" t="s">
        <v>2391</v>
      </c>
      <c r="G562" s="21">
        <v>5</v>
      </c>
      <c r="H562" s="21">
        <v>0</v>
      </c>
      <c r="I562" s="21">
        <f t="shared" si="512"/>
        <v>0</v>
      </c>
      <c r="J562" s="21">
        <f t="shared" si="513"/>
        <v>0</v>
      </c>
      <c r="K562" s="21">
        <f t="shared" si="514"/>
        <v>0</v>
      </c>
      <c r="L562" s="21">
        <v>1.9000000000000001E-4</v>
      </c>
      <c r="M562" s="21">
        <f t="shared" si="515"/>
        <v>9.5000000000000011E-4</v>
      </c>
      <c r="N562" s="35" t="s">
        <v>2417</v>
      </c>
      <c r="O562" s="39"/>
      <c r="U562" s="41">
        <f t="shared" si="516"/>
        <v>0</v>
      </c>
      <c r="W562" s="41">
        <f t="shared" si="517"/>
        <v>0</v>
      </c>
      <c r="X562" s="41">
        <f t="shared" si="518"/>
        <v>0</v>
      </c>
      <c r="Y562" s="41">
        <f t="shared" si="519"/>
        <v>0</v>
      </c>
      <c r="Z562" s="41">
        <f t="shared" si="520"/>
        <v>0</v>
      </c>
      <c r="AA562" s="41">
        <f t="shared" si="521"/>
        <v>0</v>
      </c>
      <c r="AB562" s="41">
        <f t="shared" si="522"/>
        <v>0</v>
      </c>
      <c r="AC562" s="41">
        <f t="shared" si="523"/>
        <v>0</v>
      </c>
      <c r="AD562" s="31"/>
      <c r="AE562" s="21">
        <f t="shared" si="524"/>
        <v>0</v>
      </c>
      <c r="AF562" s="21">
        <f t="shared" si="525"/>
        <v>0</v>
      </c>
      <c r="AG562" s="21">
        <f t="shared" si="526"/>
        <v>0</v>
      </c>
      <c r="AI562" s="41">
        <v>21</v>
      </c>
      <c r="AJ562" s="41">
        <f>H562*0.948991696322657</f>
        <v>0</v>
      </c>
      <c r="AK562" s="41">
        <f>H562*(1-0.948991696322657)</f>
        <v>0</v>
      </c>
      <c r="AL562" s="42" t="s">
        <v>13</v>
      </c>
      <c r="AQ562" s="41">
        <f t="shared" si="527"/>
        <v>0</v>
      </c>
      <c r="AR562" s="41">
        <f t="shared" si="528"/>
        <v>0</v>
      </c>
      <c r="AS562" s="41">
        <f t="shared" si="529"/>
        <v>0</v>
      </c>
      <c r="AT562" s="44" t="s">
        <v>2443</v>
      </c>
      <c r="AU562" s="44" t="s">
        <v>2482</v>
      </c>
      <c r="AV562" s="31" t="s">
        <v>2486</v>
      </c>
      <c r="AX562" s="41">
        <f t="shared" si="530"/>
        <v>0</v>
      </c>
      <c r="AY562" s="41">
        <f t="shared" si="531"/>
        <v>0</v>
      </c>
      <c r="AZ562" s="41">
        <v>0</v>
      </c>
      <c r="BA562" s="41">
        <f t="shared" si="532"/>
        <v>9.5000000000000011E-4</v>
      </c>
      <c r="BC562" s="21">
        <f t="shared" si="533"/>
        <v>0</v>
      </c>
      <c r="BD562" s="21">
        <f t="shared" si="534"/>
        <v>0</v>
      </c>
      <c r="BE562" s="21">
        <f t="shared" si="535"/>
        <v>0</v>
      </c>
      <c r="BF562" s="21" t="s">
        <v>2492</v>
      </c>
      <c r="BG562" s="41">
        <v>7667</v>
      </c>
    </row>
    <row r="563" spans="1:59" x14ac:dyDescent="0.3">
      <c r="A563" s="4" t="s">
        <v>542</v>
      </c>
      <c r="B563" s="13"/>
      <c r="C563" s="13" t="s">
        <v>1171</v>
      </c>
      <c r="D563" s="101" t="s">
        <v>1951</v>
      </c>
      <c r="E563" s="102"/>
      <c r="F563" s="13" t="s">
        <v>2391</v>
      </c>
      <c r="G563" s="21">
        <v>1</v>
      </c>
      <c r="H563" s="21">
        <v>0</v>
      </c>
      <c r="I563" s="21">
        <f t="shared" si="512"/>
        <v>0</v>
      </c>
      <c r="J563" s="21">
        <f t="shared" si="513"/>
        <v>0</v>
      </c>
      <c r="K563" s="21">
        <f t="shared" si="514"/>
        <v>0</v>
      </c>
      <c r="L563" s="21">
        <v>1.9000000000000001E-4</v>
      </c>
      <c r="M563" s="21">
        <f t="shared" si="515"/>
        <v>1.9000000000000001E-4</v>
      </c>
      <c r="N563" s="35" t="s">
        <v>2417</v>
      </c>
      <c r="O563" s="39"/>
      <c r="U563" s="41">
        <f t="shared" si="516"/>
        <v>0</v>
      </c>
      <c r="W563" s="41">
        <f t="shared" si="517"/>
        <v>0</v>
      </c>
      <c r="X563" s="41">
        <f t="shared" si="518"/>
        <v>0</v>
      </c>
      <c r="Y563" s="41">
        <f t="shared" si="519"/>
        <v>0</v>
      </c>
      <c r="Z563" s="41">
        <f t="shared" si="520"/>
        <v>0</v>
      </c>
      <c r="AA563" s="41">
        <f t="shared" si="521"/>
        <v>0</v>
      </c>
      <c r="AB563" s="41">
        <f t="shared" si="522"/>
        <v>0</v>
      </c>
      <c r="AC563" s="41">
        <f t="shared" si="523"/>
        <v>0</v>
      </c>
      <c r="AD563" s="31"/>
      <c r="AE563" s="21">
        <f t="shared" si="524"/>
        <v>0</v>
      </c>
      <c r="AF563" s="21">
        <f t="shared" si="525"/>
        <v>0</v>
      </c>
      <c r="AG563" s="21">
        <f t="shared" si="526"/>
        <v>0</v>
      </c>
      <c r="AI563" s="41">
        <v>21</v>
      </c>
      <c r="AJ563" s="41">
        <f t="shared" ref="AJ563:AJ569" si="536">H563*1</f>
        <v>0</v>
      </c>
      <c r="AK563" s="41">
        <f t="shared" ref="AK563:AK569" si="537">H563*(1-1)</f>
        <v>0</v>
      </c>
      <c r="AL563" s="42" t="s">
        <v>13</v>
      </c>
      <c r="AQ563" s="41">
        <f t="shared" si="527"/>
        <v>0</v>
      </c>
      <c r="AR563" s="41">
        <f t="shared" si="528"/>
        <v>0</v>
      </c>
      <c r="AS563" s="41">
        <f t="shared" si="529"/>
        <v>0</v>
      </c>
      <c r="AT563" s="44" t="s">
        <v>2443</v>
      </c>
      <c r="AU563" s="44" t="s">
        <v>2482</v>
      </c>
      <c r="AV563" s="31" t="s">
        <v>2486</v>
      </c>
      <c r="AX563" s="41">
        <f t="shared" si="530"/>
        <v>0</v>
      </c>
      <c r="AY563" s="41">
        <f t="shared" si="531"/>
        <v>0</v>
      </c>
      <c r="AZ563" s="41">
        <v>0</v>
      </c>
      <c r="BA563" s="41">
        <f t="shared" si="532"/>
        <v>1.9000000000000001E-4</v>
      </c>
      <c r="BC563" s="21">
        <f t="shared" si="533"/>
        <v>0</v>
      </c>
      <c r="BD563" s="21">
        <f t="shared" si="534"/>
        <v>0</v>
      </c>
      <c r="BE563" s="21">
        <f t="shared" si="535"/>
        <v>0</v>
      </c>
      <c r="BF563" s="21" t="s">
        <v>2492</v>
      </c>
      <c r="BG563" s="41">
        <v>7667</v>
      </c>
    </row>
    <row r="564" spans="1:59" x14ac:dyDescent="0.3">
      <c r="A564" s="4" t="s">
        <v>543</v>
      </c>
      <c r="B564" s="13"/>
      <c r="C564" s="13" t="s">
        <v>1172</v>
      </c>
      <c r="D564" s="101" t="s">
        <v>1952</v>
      </c>
      <c r="E564" s="102"/>
      <c r="F564" s="13" t="s">
        <v>2391</v>
      </c>
      <c r="G564" s="21">
        <v>6</v>
      </c>
      <c r="H564" s="21">
        <v>0</v>
      </c>
      <c r="I564" s="21">
        <f t="shared" si="512"/>
        <v>0</v>
      </c>
      <c r="J564" s="21">
        <f t="shared" si="513"/>
        <v>0</v>
      </c>
      <c r="K564" s="21">
        <f t="shared" si="514"/>
        <v>0</v>
      </c>
      <c r="L564" s="21">
        <v>1.9000000000000001E-4</v>
      </c>
      <c r="M564" s="21">
        <f t="shared" si="515"/>
        <v>1.14E-3</v>
      </c>
      <c r="N564" s="35" t="s">
        <v>2417</v>
      </c>
      <c r="O564" s="39"/>
      <c r="U564" s="41">
        <f t="shared" si="516"/>
        <v>0</v>
      </c>
      <c r="W564" s="41">
        <f t="shared" si="517"/>
        <v>0</v>
      </c>
      <c r="X564" s="41">
        <f t="shared" si="518"/>
        <v>0</v>
      </c>
      <c r="Y564" s="41">
        <f t="shared" si="519"/>
        <v>0</v>
      </c>
      <c r="Z564" s="41">
        <f t="shared" si="520"/>
        <v>0</v>
      </c>
      <c r="AA564" s="41">
        <f t="shared" si="521"/>
        <v>0</v>
      </c>
      <c r="AB564" s="41">
        <f t="shared" si="522"/>
        <v>0</v>
      </c>
      <c r="AC564" s="41">
        <f t="shared" si="523"/>
        <v>0</v>
      </c>
      <c r="AD564" s="31"/>
      <c r="AE564" s="21">
        <f t="shared" si="524"/>
        <v>0</v>
      </c>
      <c r="AF564" s="21">
        <f t="shared" si="525"/>
        <v>0</v>
      </c>
      <c r="AG564" s="21">
        <f t="shared" si="526"/>
        <v>0</v>
      </c>
      <c r="AI564" s="41">
        <v>21</v>
      </c>
      <c r="AJ564" s="41">
        <f t="shared" si="536"/>
        <v>0</v>
      </c>
      <c r="AK564" s="41">
        <f t="shared" si="537"/>
        <v>0</v>
      </c>
      <c r="AL564" s="42" t="s">
        <v>13</v>
      </c>
      <c r="AQ564" s="41">
        <f t="shared" si="527"/>
        <v>0</v>
      </c>
      <c r="AR564" s="41">
        <f t="shared" si="528"/>
        <v>0</v>
      </c>
      <c r="AS564" s="41">
        <f t="shared" si="529"/>
        <v>0</v>
      </c>
      <c r="AT564" s="44" t="s">
        <v>2443</v>
      </c>
      <c r="AU564" s="44" t="s">
        <v>2482</v>
      </c>
      <c r="AV564" s="31" t="s">
        <v>2486</v>
      </c>
      <c r="AX564" s="41">
        <f t="shared" si="530"/>
        <v>0</v>
      </c>
      <c r="AY564" s="41">
        <f t="shared" si="531"/>
        <v>0</v>
      </c>
      <c r="AZ564" s="41">
        <v>0</v>
      </c>
      <c r="BA564" s="41">
        <f t="shared" si="532"/>
        <v>1.14E-3</v>
      </c>
      <c r="BC564" s="21">
        <f t="shared" si="533"/>
        <v>0</v>
      </c>
      <c r="BD564" s="21">
        <f t="shared" si="534"/>
        <v>0</v>
      </c>
      <c r="BE564" s="21">
        <f t="shared" si="535"/>
        <v>0</v>
      </c>
      <c r="BF564" s="21" t="s">
        <v>2492</v>
      </c>
      <c r="BG564" s="41">
        <v>7667</v>
      </c>
    </row>
    <row r="565" spans="1:59" x14ac:dyDescent="0.3">
      <c r="A565" s="4" t="s">
        <v>544</v>
      </c>
      <c r="B565" s="13"/>
      <c r="C565" s="13" t="s">
        <v>1173</v>
      </c>
      <c r="D565" s="101" t="s">
        <v>1953</v>
      </c>
      <c r="E565" s="102"/>
      <c r="F565" s="13" t="s">
        <v>2391</v>
      </c>
      <c r="G565" s="21">
        <v>3</v>
      </c>
      <c r="H565" s="21">
        <v>0</v>
      </c>
      <c r="I565" s="21">
        <f t="shared" si="512"/>
        <v>0</v>
      </c>
      <c r="J565" s="21">
        <f t="shared" si="513"/>
        <v>0</v>
      </c>
      <c r="K565" s="21">
        <f t="shared" si="514"/>
        <v>0</v>
      </c>
      <c r="L565" s="21">
        <v>1.9000000000000001E-4</v>
      </c>
      <c r="M565" s="21">
        <f t="shared" si="515"/>
        <v>5.6999999999999998E-4</v>
      </c>
      <c r="N565" s="35" t="s">
        <v>2417</v>
      </c>
      <c r="O565" s="39"/>
      <c r="U565" s="41">
        <f t="shared" si="516"/>
        <v>0</v>
      </c>
      <c r="W565" s="41">
        <f t="shared" si="517"/>
        <v>0</v>
      </c>
      <c r="X565" s="41">
        <f t="shared" si="518"/>
        <v>0</v>
      </c>
      <c r="Y565" s="41">
        <f t="shared" si="519"/>
        <v>0</v>
      </c>
      <c r="Z565" s="41">
        <f t="shared" si="520"/>
        <v>0</v>
      </c>
      <c r="AA565" s="41">
        <f t="shared" si="521"/>
        <v>0</v>
      </c>
      <c r="AB565" s="41">
        <f t="shared" si="522"/>
        <v>0</v>
      </c>
      <c r="AC565" s="41">
        <f t="shared" si="523"/>
        <v>0</v>
      </c>
      <c r="AD565" s="31"/>
      <c r="AE565" s="21">
        <f t="shared" si="524"/>
        <v>0</v>
      </c>
      <c r="AF565" s="21">
        <f t="shared" si="525"/>
        <v>0</v>
      </c>
      <c r="AG565" s="21">
        <f t="shared" si="526"/>
        <v>0</v>
      </c>
      <c r="AI565" s="41">
        <v>21</v>
      </c>
      <c r="AJ565" s="41">
        <f t="shared" si="536"/>
        <v>0</v>
      </c>
      <c r="AK565" s="41">
        <f t="shared" si="537"/>
        <v>0</v>
      </c>
      <c r="AL565" s="42" t="s">
        <v>13</v>
      </c>
      <c r="AQ565" s="41">
        <f t="shared" si="527"/>
        <v>0</v>
      </c>
      <c r="AR565" s="41">
        <f t="shared" si="528"/>
        <v>0</v>
      </c>
      <c r="AS565" s="41">
        <f t="shared" si="529"/>
        <v>0</v>
      </c>
      <c r="AT565" s="44" t="s">
        <v>2443</v>
      </c>
      <c r="AU565" s="44" t="s">
        <v>2482</v>
      </c>
      <c r="AV565" s="31" t="s">
        <v>2486</v>
      </c>
      <c r="AX565" s="41">
        <f t="shared" si="530"/>
        <v>0</v>
      </c>
      <c r="AY565" s="41">
        <f t="shared" si="531"/>
        <v>0</v>
      </c>
      <c r="AZ565" s="41">
        <v>0</v>
      </c>
      <c r="BA565" s="41">
        <f t="shared" si="532"/>
        <v>5.6999999999999998E-4</v>
      </c>
      <c r="BC565" s="21">
        <f t="shared" si="533"/>
        <v>0</v>
      </c>
      <c r="BD565" s="21">
        <f t="shared" si="534"/>
        <v>0</v>
      </c>
      <c r="BE565" s="21">
        <f t="shared" si="535"/>
        <v>0</v>
      </c>
      <c r="BF565" s="21" t="s">
        <v>2492</v>
      </c>
      <c r="BG565" s="41">
        <v>7667</v>
      </c>
    </row>
    <row r="566" spans="1:59" x14ac:dyDescent="0.3">
      <c r="A566" s="4" t="s">
        <v>545</v>
      </c>
      <c r="B566" s="13"/>
      <c r="C566" s="13" t="s">
        <v>1174</v>
      </c>
      <c r="D566" s="101" t="s">
        <v>1954</v>
      </c>
      <c r="E566" s="102"/>
      <c r="F566" s="13" t="s">
        <v>2391</v>
      </c>
      <c r="G566" s="21">
        <v>5</v>
      </c>
      <c r="H566" s="21">
        <v>0</v>
      </c>
      <c r="I566" s="21">
        <f t="shared" si="512"/>
        <v>0</v>
      </c>
      <c r="J566" s="21">
        <f t="shared" si="513"/>
        <v>0</v>
      </c>
      <c r="K566" s="21">
        <f t="shared" si="514"/>
        <v>0</v>
      </c>
      <c r="L566" s="21">
        <v>1.9000000000000001E-4</v>
      </c>
      <c r="M566" s="21">
        <f t="shared" si="515"/>
        <v>9.5000000000000011E-4</v>
      </c>
      <c r="N566" s="35" t="s">
        <v>2417</v>
      </c>
      <c r="O566" s="39"/>
      <c r="U566" s="41">
        <f t="shared" si="516"/>
        <v>0</v>
      </c>
      <c r="W566" s="41">
        <f t="shared" si="517"/>
        <v>0</v>
      </c>
      <c r="X566" s="41">
        <f t="shared" si="518"/>
        <v>0</v>
      </c>
      <c r="Y566" s="41">
        <f t="shared" si="519"/>
        <v>0</v>
      </c>
      <c r="Z566" s="41">
        <f t="shared" si="520"/>
        <v>0</v>
      </c>
      <c r="AA566" s="41">
        <f t="shared" si="521"/>
        <v>0</v>
      </c>
      <c r="AB566" s="41">
        <f t="shared" si="522"/>
        <v>0</v>
      </c>
      <c r="AC566" s="41">
        <f t="shared" si="523"/>
        <v>0</v>
      </c>
      <c r="AD566" s="31"/>
      <c r="AE566" s="21">
        <f t="shared" si="524"/>
        <v>0</v>
      </c>
      <c r="AF566" s="21">
        <f t="shared" si="525"/>
        <v>0</v>
      </c>
      <c r="AG566" s="21">
        <f t="shared" si="526"/>
        <v>0</v>
      </c>
      <c r="AI566" s="41">
        <v>21</v>
      </c>
      <c r="AJ566" s="41">
        <f t="shared" si="536"/>
        <v>0</v>
      </c>
      <c r="AK566" s="41">
        <f t="shared" si="537"/>
        <v>0</v>
      </c>
      <c r="AL566" s="42" t="s">
        <v>13</v>
      </c>
      <c r="AQ566" s="41">
        <f t="shared" si="527"/>
        <v>0</v>
      </c>
      <c r="AR566" s="41">
        <f t="shared" si="528"/>
        <v>0</v>
      </c>
      <c r="AS566" s="41">
        <f t="shared" si="529"/>
        <v>0</v>
      </c>
      <c r="AT566" s="44" t="s">
        <v>2443</v>
      </c>
      <c r="AU566" s="44" t="s">
        <v>2482</v>
      </c>
      <c r="AV566" s="31" t="s">
        <v>2486</v>
      </c>
      <c r="AX566" s="41">
        <f t="shared" si="530"/>
        <v>0</v>
      </c>
      <c r="AY566" s="41">
        <f t="shared" si="531"/>
        <v>0</v>
      </c>
      <c r="AZ566" s="41">
        <v>0</v>
      </c>
      <c r="BA566" s="41">
        <f t="shared" si="532"/>
        <v>9.5000000000000011E-4</v>
      </c>
      <c r="BC566" s="21">
        <f t="shared" si="533"/>
        <v>0</v>
      </c>
      <c r="BD566" s="21">
        <f t="shared" si="534"/>
        <v>0</v>
      </c>
      <c r="BE566" s="21">
        <f t="shared" si="535"/>
        <v>0</v>
      </c>
      <c r="BF566" s="21" t="s">
        <v>2492</v>
      </c>
      <c r="BG566" s="41">
        <v>7667</v>
      </c>
    </row>
    <row r="567" spans="1:59" x14ac:dyDescent="0.3">
      <c r="A567" s="4" t="s">
        <v>546</v>
      </c>
      <c r="B567" s="13"/>
      <c r="C567" s="13" t="s">
        <v>1175</v>
      </c>
      <c r="D567" s="101" t="s">
        <v>1955</v>
      </c>
      <c r="E567" s="102"/>
      <c r="F567" s="13" t="s">
        <v>2391</v>
      </c>
      <c r="G567" s="21">
        <v>6</v>
      </c>
      <c r="H567" s="21">
        <v>0</v>
      </c>
      <c r="I567" s="21">
        <f t="shared" si="512"/>
        <v>0</v>
      </c>
      <c r="J567" s="21">
        <f t="shared" si="513"/>
        <v>0</v>
      </c>
      <c r="K567" s="21">
        <f t="shared" si="514"/>
        <v>0</v>
      </c>
      <c r="L567" s="21">
        <v>1.9000000000000001E-4</v>
      </c>
      <c r="M567" s="21">
        <f t="shared" si="515"/>
        <v>1.14E-3</v>
      </c>
      <c r="N567" s="35" t="s">
        <v>2417</v>
      </c>
      <c r="O567" s="39"/>
      <c r="U567" s="41">
        <f t="shared" si="516"/>
        <v>0</v>
      </c>
      <c r="W567" s="41">
        <f t="shared" si="517"/>
        <v>0</v>
      </c>
      <c r="X567" s="41">
        <f t="shared" si="518"/>
        <v>0</v>
      </c>
      <c r="Y567" s="41">
        <f t="shared" si="519"/>
        <v>0</v>
      </c>
      <c r="Z567" s="41">
        <f t="shared" si="520"/>
        <v>0</v>
      </c>
      <c r="AA567" s="41">
        <f t="shared" si="521"/>
        <v>0</v>
      </c>
      <c r="AB567" s="41">
        <f t="shared" si="522"/>
        <v>0</v>
      </c>
      <c r="AC567" s="41">
        <f t="shared" si="523"/>
        <v>0</v>
      </c>
      <c r="AD567" s="31"/>
      <c r="AE567" s="21">
        <f t="shared" si="524"/>
        <v>0</v>
      </c>
      <c r="AF567" s="21">
        <f t="shared" si="525"/>
        <v>0</v>
      </c>
      <c r="AG567" s="21">
        <f t="shared" si="526"/>
        <v>0</v>
      </c>
      <c r="AI567" s="41">
        <v>21</v>
      </c>
      <c r="AJ567" s="41">
        <f t="shared" si="536"/>
        <v>0</v>
      </c>
      <c r="AK567" s="41">
        <f t="shared" si="537"/>
        <v>0</v>
      </c>
      <c r="AL567" s="42" t="s">
        <v>13</v>
      </c>
      <c r="AQ567" s="41">
        <f t="shared" si="527"/>
        <v>0</v>
      </c>
      <c r="AR567" s="41">
        <f t="shared" si="528"/>
        <v>0</v>
      </c>
      <c r="AS567" s="41">
        <f t="shared" si="529"/>
        <v>0</v>
      </c>
      <c r="AT567" s="44" t="s">
        <v>2443</v>
      </c>
      <c r="AU567" s="44" t="s">
        <v>2482</v>
      </c>
      <c r="AV567" s="31" t="s">
        <v>2486</v>
      </c>
      <c r="AX567" s="41">
        <f t="shared" si="530"/>
        <v>0</v>
      </c>
      <c r="AY567" s="41">
        <f t="shared" si="531"/>
        <v>0</v>
      </c>
      <c r="AZ567" s="41">
        <v>0</v>
      </c>
      <c r="BA567" s="41">
        <f t="shared" si="532"/>
        <v>1.14E-3</v>
      </c>
      <c r="BC567" s="21">
        <f t="shared" si="533"/>
        <v>0</v>
      </c>
      <c r="BD567" s="21">
        <f t="shared" si="534"/>
        <v>0</v>
      </c>
      <c r="BE567" s="21">
        <f t="shared" si="535"/>
        <v>0</v>
      </c>
      <c r="BF567" s="21" t="s">
        <v>2492</v>
      </c>
      <c r="BG567" s="41">
        <v>7667</v>
      </c>
    </row>
    <row r="568" spans="1:59" x14ac:dyDescent="0.3">
      <c r="A568" s="4" t="s">
        <v>547</v>
      </c>
      <c r="B568" s="13"/>
      <c r="C568" s="13" t="s">
        <v>1176</v>
      </c>
      <c r="D568" s="101" t="s">
        <v>1956</v>
      </c>
      <c r="E568" s="102"/>
      <c r="F568" s="13" t="s">
        <v>2391</v>
      </c>
      <c r="G568" s="21">
        <v>4</v>
      </c>
      <c r="H568" s="21">
        <v>0</v>
      </c>
      <c r="I568" s="21">
        <f t="shared" si="512"/>
        <v>0</v>
      </c>
      <c r="J568" s="21">
        <f t="shared" si="513"/>
        <v>0</v>
      </c>
      <c r="K568" s="21">
        <f t="shared" si="514"/>
        <v>0</v>
      </c>
      <c r="L568" s="21">
        <v>1.9000000000000001E-4</v>
      </c>
      <c r="M568" s="21">
        <f t="shared" si="515"/>
        <v>7.6000000000000004E-4</v>
      </c>
      <c r="N568" s="35" t="s">
        <v>2417</v>
      </c>
      <c r="O568" s="39"/>
      <c r="U568" s="41">
        <f t="shared" si="516"/>
        <v>0</v>
      </c>
      <c r="W568" s="41">
        <f t="shared" si="517"/>
        <v>0</v>
      </c>
      <c r="X568" s="41">
        <f t="shared" si="518"/>
        <v>0</v>
      </c>
      <c r="Y568" s="41">
        <f t="shared" si="519"/>
        <v>0</v>
      </c>
      <c r="Z568" s="41">
        <f t="shared" si="520"/>
        <v>0</v>
      </c>
      <c r="AA568" s="41">
        <f t="shared" si="521"/>
        <v>0</v>
      </c>
      <c r="AB568" s="41">
        <f t="shared" si="522"/>
        <v>0</v>
      </c>
      <c r="AC568" s="41">
        <f t="shared" si="523"/>
        <v>0</v>
      </c>
      <c r="AD568" s="31"/>
      <c r="AE568" s="21">
        <f t="shared" si="524"/>
        <v>0</v>
      </c>
      <c r="AF568" s="21">
        <f t="shared" si="525"/>
        <v>0</v>
      </c>
      <c r="AG568" s="21">
        <f t="shared" si="526"/>
        <v>0</v>
      </c>
      <c r="AI568" s="41">
        <v>21</v>
      </c>
      <c r="AJ568" s="41">
        <f t="shared" si="536"/>
        <v>0</v>
      </c>
      <c r="AK568" s="41">
        <f t="shared" si="537"/>
        <v>0</v>
      </c>
      <c r="AL568" s="42" t="s">
        <v>13</v>
      </c>
      <c r="AQ568" s="41">
        <f t="shared" si="527"/>
        <v>0</v>
      </c>
      <c r="AR568" s="41">
        <f t="shared" si="528"/>
        <v>0</v>
      </c>
      <c r="AS568" s="41">
        <f t="shared" si="529"/>
        <v>0</v>
      </c>
      <c r="AT568" s="44" t="s">
        <v>2443</v>
      </c>
      <c r="AU568" s="44" t="s">
        <v>2482</v>
      </c>
      <c r="AV568" s="31" t="s">
        <v>2486</v>
      </c>
      <c r="AX568" s="41">
        <f t="shared" si="530"/>
        <v>0</v>
      </c>
      <c r="AY568" s="41">
        <f t="shared" si="531"/>
        <v>0</v>
      </c>
      <c r="AZ568" s="41">
        <v>0</v>
      </c>
      <c r="BA568" s="41">
        <f t="shared" si="532"/>
        <v>7.6000000000000004E-4</v>
      </c>
      <c r="BC568" s="21">
        <f t="shared" si="533"/>
        <v>0</v>
      </c>
      <c r="BD568" s="21">
        <f t="shared" si="534"/>
        <v>0</v>
      </c>
      <c r="BE568" s="21">
        <f t="shared" si="535"/>
        <v>0</v>
      </c>
      <c r="BF568" s="21" t="s">
        <v>2492</v>
      </c>
      <c r="BG568" s="41">
        <v>7667</v>
      </c>
    </row>
    <row r="569" spans="1:59" x14ac:dyDescent="0.3">
      <c r="A569" s="4" t="s">
        <v>548</v>
      </c>
      <c r="B569" s="13"/>
      <c r="C569" s="13" t="s">
        <v>1177</v>
      </c>
      <c r="D569" s="101" t="s">
        <v>1957</v>
      </c>
      <c r="E569" s="102"/>
      <c r="F569" s="13" t="s">
        <v>2391</v>
      </c>
      <c r="G569" s="21">
        <v>20</v>
      </c>
      <c r="H569" s="21">
        <v>0</v>
      </c>
      <c r="I569" s="21">
        <f t="shared" si="512"/>
        <v>0</v>
      </c>
      <c r="J569" s="21">
        <f t="shared" si="513"/>
        <v>0</v>
      </c>
      <c r="K569" s="21">
        <f t="shared" si="514"/>
        <v>0</v>
      </c>
      <c r="L569" s="21">
        <v>1.9000000000000001E-4</v>
      </c>
      <c r="M569" s="21">
        <f t="shared" si="515"/>
        <v>3.8000000000000004E-3</v>
      </c>
      <c r="N569" s="35" t="s">
        <v>2417</v>
      </c>
      <c r="O569" s="39"/>
      <c r="U569" s="41">
        <f t="shared" si="516"/>
        <v>0</v>
      </c>
      <c r="W569" s="41">
        <f t="shared" si="517"/>
        <v>0</v>
      </c>
      <c r="X569" s="41">
        <f t="shared" si="518"/>
        <v>0</v>
      </c>
      <c r="Y569" s="41">
        <f t="shared" si="519"/>
        <v>0</v>
      </c>
      <c r="Z569" s="41">
        <f t="shared" si="520"/>
        <v>0</v>
      </c>
      <c r="AA569" s="41">
        <f t="shared" si="521"/>
        <v>0</v>
      </c>
      <c r="AB569" s="41">
        <f t="shared" si="522"/>
        <v>0</v>
      </c>
      <c r="AC569" s="41">
        <f t="shared" si="523"/>
        <v>0</v>
      </c>
      <c r="AD569" s="31"/>
      <c r="AE569" s="21">
        <f t="shared" si="524"/>
        <v>0</v>
      </c>
      <c r="AF569" s="21">
        <f t="shared" si="525"/>
        <v>0</v>
      </c>
      <c r="AG569" s="21">
        <f t="shared" si="526"/>
        <v>0</v>
      </c>
      <c r="AI569" s="41">
        <v>21</v>
      </c>
      <c r="AJ569" s="41">
        <f t="shared" si="536"/>
        <v>0</v>
      </c>
      <c r="AK569" s="41">
        <f t="shared" si="537"/>
        <v>0</v>
      </c>
      <c r="AL569" s="42" t="s">
        <v>13</v>
      </c>
      <c r="AQ569" s="41">
        <f t="shared" si="527"/>
        <v>0</v>
      </c>
      <c r="AR569" s="41">
        <f t="shared" si="528"/>
        <v>0</v>
      </c>
      <c r="AS569" s="41">
        <f t="shared" si="529"/>
        <v>0</v>
      </c>
      <c r="AT569" s="44" t="s">
        <v>2443</v>
      </c>
      <c r="AU569" s="44" t="s">
        <v>2482</v>
      </c>
      <c r="AV569" s="31" t="s">
        <v>2486</v>
      </c>
      <c r="AX569" s="41">
        <f t="shared" si="530"/>
        <v>0</v>
      </c>
      <c r="AY569" s="41">
        <f t="shared" si="531"/>
        <v>0</v>
      </c>
      <c r="AZ569" s="41">
        <v>0</v>
      </c>
      <c r="BA569" s="41">
        <f t="shared" si="532"/>
        <v>3.8000000000000004E-3</v>
      </c>
      <c r="BC569" s="21">
        <f t="shared" si="533"/>
        <v>0</v>
      </c>
      <c r="BD569" s="21">
        <f t="shared" si="534"/>
        <v>0</v>
      </c>
      <c r="BE569" s="21">
        <f t="shared" si="535"/>
        <v>0</v>
      </c>
      <c r="BF569" s="21" t="s">
        <v>2492</v>
      </c>
      <c r="BG569" s="41">
        <v>7667</v>
      </c>
    </row>
    <row r="570" spans="1:59" x14ac:dyDescent="0.3">
      <c r="A570" s="5"/>
      <c r="B570" s="14"/>
      <c r="C570" s="14" t="s">
        <v>1178</v>
      </c>
      <c r="D570" s="103" t="s">
        <v>2734</v>
      </c>
      <c r="E570" s="104"/>
      <c r="F570" s="19" t="s">
        <v>6</v>
      </c>
      <c r="G570" s="19" t="s">
        <v>6</v>
      </c>
      <c r="H570" s="19" t="s">
        <v>6</v>
      </c>
      <c r="I570" s="47">
        <v>0</v>
      </c>
      <c r="J570" s="47">
        <v>0</v>
      </c>
      <c r="K570" s="47">
        <v>0</v>
      </c>
      <c r="L570" s="31"/>
      <c r="M570" s="47">
        <v>0</v>
      </c>
      <c r="N570" s="36"/>
      <c r="O570" s="39"/>
      <c r="AD570" s="31"/>
      <c r="AN570" s="47" t="e">
        <f>SUM(#REF!)</f>
        <v>#REF!</v>
      </c>
      <c r="AO570" s="47" t="e">
        <f>SUM(#REF!)</f>
        <v>#REF!</v>
      </c>
      <c r="AP570" s="47" t="e">
        <f>SUM(#REF!)</f>
        <v>#REF!</v>
      </c>
    </row>
    <row r="571" spans="1:59" x14ac:dyDescent="0.3">
      <c r="A571" s="5"/>
      <c r="B571" s="14"/>
      <c r="C571" s="14" t="s">
        <v>1179</v>
      </c>
      <c r="D571" s="103" t="s">
        <v>1958</v>
      </c>
      <c r="E571" s="104"/>
      <c r="F571" s="19" t="s">
        <v>6</v>
      </c>
      <c r="G571" s="19" t="s">
        <v>6</v>
      </c>
      <c r="H571" s="19" t="s">
        <v>6</v>
      </c>
      <c r="I571" s="47">
        <f>SUM(I572:I647)</f>
        <v>0</v>
      </c>
      <c r="J571" s="47">
        <f>SUM(J572:J647)</f>
        <v>0</v>
      </c>
      <c r="K571" s="47">
        <f>SUM(K572:K647)</f>
        <v>0</v>
      </c>
      <c r="L571" s="31"/>
      <c r="M571" s="47">
        <f>SUM(M572:M647)</f>
        <v>1.7100000000000001E-3</v>
      </c>
      <c r="N571" s="36"/>
      <c r="O571" s="39"/>
      <c r="AD571" s="31"/>
      <c r="AN571" s="47">
        <f>SUM(AE572:AE647)</f>
        <v>0</v>
      </c>
      <c r="AO571" s="47">
        <f>SUM(AF572:AF647)</f>
        <v>0</v>
      </c>
      <c r="AP571" s="47">
        <f>SUM(AG572:AG647)</f>
        <v>0</v>
      </c>
    </row>
    <row r="572" spans="1:59" x14ac:dyDescent="0.3">
      <c r="A572" s="4" t="s">
        <v>561</v>
      </c>
      <c r="B572" s="13"/>
      <c r="C572" s="13" t="s">
        <v>1180</v>
      </c>
      <c r="D572" s="101" t="s">
        <v>1959</v>
      </c>
      <c r="E572" s="102"/>
      <c r="F572" s="13" t="s">
        <v>2391</v>
      </c>
      <c r="G572" s="21">
        <v>1</v>
      </c>
      <c r="H572" s="21">
        <v>0</v>
      </c>
      <c r="I572" s="21">
        <f t="shared" ref="I572:I603" si="538">G572*AJ572</f>
        <v>0</v>
      </c>
      <c r="J572" s="21">
        <f t="shared" ref="J572:J603" si="539">G572*AK572</f>
        <v>0</v>
      </c>
      <c r="K572" s="21">
        <f t="shared" ref="K572:K603" si="540">G572*H572</f>
        <v>0</v>
      </c>
      <c r="L572" s="21">
        <v>0</v>
      </c>
      <c r="M572" s="21">
        <f t="shared" ref="M572:M603" si="541">G572*L572</f>
        <v>0</v>
      </c>
      <c r="N572" s="35" t="s">
        <v>2417</v>
      </c>
      <c r="O572" s="39"/>
      <c r="U572" s="41">
        <f t="shared" ref="U572:U603" si="542">IF(AL572="5",BE572,0)</f>
        <v>0</v>
      </c>
      <c r="W572" s="41">
        <f t="shared" ref="W572:W603" si="543">IF(AL572="1",BC572,0)</f>
        <v>0</v>
      </c>
      <c r="X572" s="41">
        <f t="shared" ref="X572:X603" si="544">IF(AL572="1",BD572,0)</f>
        <v>0</v>
      </c>
      <c r="Y572" s="41">
        <f t="shared" ref="Y572:Y603" si="545">IF(AL572="7",BC572,0)</f>
        <v>0</v>
      </c>
      <c r="Z572" s="41">
        <f t="shared" ref="Z572:Z603" si="546">IF(AL572="7",BD572,0)</f>
        <v>0</v>
      </c>
      <c r="AA572" s="41">
        <f t="shared" ref="AA572:AA603" si="547">IF(AL572="2",BC572,0)</f>
        <v>0</v>
      </c>
      <c r="AB572" s="41">
        <f t="shared" ref="AB572:AB603" si="548">IF(AL572="2",BD572,0)</f>
        <v>0</v>
      </c>
      <c r="AC572" s="41">
        <f t="shared" ref="AC572:AC603" si="549">IF(AL572="0",BE572,0)</f>
        <v>0</v>
      </c>
      <c r="AD572" s="31"/>
      <c r="AE572" s="21">
        <f t="shared" ref="AE572:AE603" si="550">IF(AI572=0,K572,0)</f>
        <v>0</v>
      </c>
      <c r="AF572" s="21">
        <f t="shared" ref="AF572:AF603" si="551">IF(AI572=15,K572,0)</f>
        <v>0</v>
      </c>
      <c r="AG572" s="21">
        <f t="shared" ref="AG572:AG603" si="552">IF(AI572=21,K572,0)</f>
        <v>0</v>
      </c>
      <c r="AI572" s="41">
        <v>21</v>
      </c>
      <c r="AJ572" s="41">
        <f>H572*0.840336134453782</f>
        <v>0</v>
      </c>
      <c r="AK572" s="41">
        <f>H572*(1-0.840336134453782)</f>
        <v>0</v>
      </c>
      <c r="AL572" s="42" t="s">
        <v>13</v>
      </c>
      <c r="AQ572" s="41">
        <f t="shared" ref="AQ572:AQ603" si="553">AR572+AS572</f>
        <v>0</v>
      </c>
      <c r="AR572" s="41">
        <f t="shared" ref="AR572:AR603" si="554">G572*AJ572</f>
        <v>0</v>
      </c>
      <c r="AS572" s="41">
        <f t="shared" ref="AS572:AS603" si="555">G572*AK572</f>
        <v>0</v>
      </c>
      <c r="AT572" s="44" t="s">
        <v>2444</v>
      </c>
      <c r="AU572" s="44" t="s">
        <v>2482</v>
      </c>
      <c r="AV572" s="31" t="s">
        <v>2486</v>
      </c>
      <c r="AX572" s="41">
        <f t="shared" ref="AX572:AX603" si="556">AR572+AS572</f>
        <v>0</v>
      </c>
      <c r="AY572" s="41">
        <f t="shared" ref="AY572:AY603" si="557">H572/(100-AZ572)*100</f>
        <v>0</v>
      </c>
      <c r="AZ572" s="41">
        <v>0</v>
      </c>
      <c r="BA572" s="41">
        <f t="shared" ref="BA572:BA603" si="558">M572</f>
        <v>0</v>
      </c>
      <c r="BC572" s="21">
        <f t="shared" ref="BC572:BC603" si="559">G572*AJ572</f>
        <v>0</v>
      </c>
      <c r="BD572" s="21">
        <f t="shared" ref="BD572:BD603" si="560">G572*AK572</f>
        <v>0</v>
      </c>
      <c r="BE572" s="21">
        <f t="shared" ref="BE572:BE603" si="561">G572*H572</f>
        <v>0</v>
      </c>
      <c r="BF572" s="21" t="s">
        <v>2492</v>
      </c>
      <c r="BG572" s="41">
        <v>7669</v>
      </c>
    </row>
    <row r="573" spans="1:59" x14ac:dyDescent="0.3">
      <c r="A573" s="4" t="s">
        <v>562</v>
      </c>
      <c r="B573" s="13"/>
      <c r="C573" s="13" t="s">
        <v>1181</v>
      </c>
      <c r="D573" s="101" t="s">
        <v>1960</v>
      </c>
      <c r="E573" s="102"/>
      <c r="F573" s="13" t="s">
        <v>2391</v>
      </c>
      <c r="G573" s="21">
        <v>1</v>
      </c>
      <c r="H573" s="21">
        <v>0</v>
      </c>
      <c r="I573" s="21">
        <f t="shared" si="538"/>
        <v>0</v>
      </c>
      <c r="J573" s="21">
        <f t="shared" si="539"/>
        <v>0</v>
      </c>
      <c r="K573" s="21">
        <f t="shared" si="540"/>
        <v>0</v>
      </c>
      <c r="L573" s="21">
        <v>0</v>
      </c>
      <c r="M573" s="21">
        <f t="shared" si="541"/>
        <v>0</v>
      </c>
      <c r="N573" s="35" t="s">
        <v>2417</v>
      </c>
      <c r="O573" s="39"/>
      <c r="U573" s="41">
        <f t="shared" si="542"/>
        <v>0</v>
      </c>
      <c r="W573" s="41">
        <f t="shared" si="543"/>
        <v>0</v>
      </c>
      <c r="X573" s="41">
        <f t="shared" si="544"/>
        <v>0</v>
      </c>
      <c r="Y573" s="41">
        <f t="shared" si="545"/>
        <v>0</v>
      </c>
      <c r="Z573" s="41">
        <f t="shared" si="546"/>
        <v>0</v>
      </c>
      <c r="AA573" s="41">
        <f t="shared" si="547"/>
        <v>0</v>
      </c>
      <c r="AB573" s="41">
        <f t="shared" si="548"/>
        <v>0</v>
      </c>
      <c r="AC573" s="41">
        <f t="shared" si="549"/>
        <v>0</v>
      </c>
      <c r="AD573" s="31"/>
      <c r="AE573" s="21">
        <f t="shared" si="550"/>
        <v>0</v>
      </c>
      <c r="AF573" s="21">
        <f t="shared" si="551"/>
        <v>0</v>
      </c>
      <c r="AG573" s="21">
        <f t="shared" si="552"/>
        <v>0</v>
      </c>
      <c r="AI573" s="41">
        <v>21</v>
      </c>
      <c r="AJ573" s="41">
        <f>H573*0.929425121588242</f>
        <v>0</v>
      </c>
      <c r="AK573" s="41">
        <f>H573*(1-0.929425121588242)</f>
        <v>0</v>
      </c>
      <c r="AL573" s="42" t="s">
        <v>13</v>
      </c>
      <c r="AQ573" s="41">
        <f t="shared" si="553"/>
        <v>0</v>
      </c>
      <c r="AR573" s="41">
        <f t="shared" si="554"/>
        <v>0</v>
      </c>
      <c r="AS573" s="41">
        <f t="shared" si="555"/>
        <v>0</v>
      </c>
      <c r="AT573" s="44" t="s">
        <v>2444</v>
      </c>
      <c r="AU573" s="44" t="s">
        <v>2482</v>
      </c>
      <c r="AV573" s="31" t="s">
        <v>2486</v>
      </c>
      <c r="AX573" s="41">
        <f t="shared" si="556"/>
        <v>0</v>
      </c>
      <c r="AY573" s="41">
        <f t="shared" si="557"/>
        <v>0</v>
      </c>
      <c r="AZ573" s="41">
        <v>0</v>
      </c>
      <c r="BA573" s="41">
        <f t="shared" si="558"/>
        <v>0</v>
      </c>
      <c r="BC573" s="21">
        <f t="shared" si="559"/>
        <v>0</v>
      </c>
      <c r="BD573" s="21">
        <f t="shared" si="560"/>
        <v>0</v>
      </c>
      <c r="BE573" s="21">
        <f t="shared" si="561"/>
        <v>0</v>
      </c>
      <c r="BF573" s="21" t="s">
        <v>2492</v>
      </c>
      <c r="BG573" s="41">
        <v>7669</v>
      </c>
    </row>
    <row r="574" spans="1:59" x14ac:dyDescent="0.3">
      <c r="A574" s="4" t="s">
        <v>563</v>
      </c>
      <c r="B574" s="13"/>
      <c r="C574" s="13" t="s">
        <v>1182</v>
      </c>
      <c r="D574" s="101" t="s">
        <v>1961</v>
      </c>
      <c r="E574" s="102"/>
      <c r="F574" s="13" t="s">
        <v>2391</v>
      </c>
      <c r="G574" s="21">
        <v>6</v>
      </c>
      <c r="H574" s="21">
        <v>0</v>
      </c>
      <c r="I574" s="21">
        <f t="shared" si="538"/>
        <v>0</v>
      </c>
      <c r="J574" s="21">
        <f t="shared" si="539"/>
        <v>0</v>
      </c>
      <c r="K574" s="21">
        <f t="shared" si="540"/>
        <v>0</v>
      </c>
      <c r="L574" s="21">
        <v>0</v>
      </c>
      <c r="M574" s="21">
        <f t="shared" si="541"/>
        <v>0</v>
      </c>
      <c r="N574" s="35" t="s">
        <v>2417</v>
      </c>
      <c r="O574" s="39"/>
      <c r="U574" s="41">
        <f t="shared" si="542"/>
        <v>0</v>
      </c>
      <c r="W574" s="41">
        <f t="shared" si="543"/>
        <v>0</v>
      </c>
      <c r="X574" s="41">
        <f t="shared" si="544"/>
        <v>0</v>
      </c>
      <c r="Y574" s="41">
        <f t="shared" si="545"/>
        <v>0</v>
      </c>
      <c r="Z574" s="41">
        <f t="shared" si="546"/>
        <v>0</v>
      </c>
      <c r="AA574" s="41">
        <f t="shared" si="547"/>
        <v>0</v>
      </c>
      <c r="AB574" s="41">
        <f t="shared" si="548"/>
        <v>0</v>
      </c>
      <c r="AC574" s="41">
        <f t="shared" si="549"/>
        <v>0</v>
      </c>
      <c r="AD574" s="31"/>
      <c r="AE574" s="21">
        <f t="shared" si="550"/>
        <v>0</v>
      </c>
      <c r="AF574" s="21">
        <f t="shared" si="551"/>
        <v>0</v>
      </c>
      <c r="AG574" s="21">
        <f t="shared" si="552"/>
        <v>0</v>
      </c>
      <c r="AI574" s="41">
        <v>21</v>
      </c>
      <c r="AJ574" s="41">
        <f>H574*0.836538461538462</f>
        <v>0</v>
      </c>
      <c r="AK574" s="41">
        <f>H574*(1-0.836538461538462)</f>
        <v>0</v>
      </c>
      <c r="AL574" s="42" t="s">
        <v>13</v>
      </c>
      <c r="AQ574" s="41">
        <f t="shared" si="553"/>
        <v>0</v>
      </c>
      <c r="AR574" s="41">
        <f t="shared" si="554"/>
        <v>0</v>
      </c>
      <c r="AS574" s="41">
        <f t="shared" si="555"/>
        <v>0</v>
      </c>
      <c r="AT574" s="44" t="s">
        <v>2444</v>
      </c>
      <c r="AU574" s="44" t="s">
        <v>2482</v>
      </c>
      <c r="AV574" s="31" t="s">
        <v>2486</v>
      </c>
      <c r="AX574" s="41">
        <f t="shared" si="556"/>
        <v>0</v>
      </c>
      <c r="AY574" s="41">
        <f t="shared" si="557"/>
        <v>0</v>
      </c>
      <c r="AZ574" s="41">
        <v>0</v>
      </c>
      <c r="BA574" s="41">
        <f t="shared" si="558"/>
        <v>0</v>
      </c>
      <c r="BC574" s="21">
        <f t="shared" si="559"/>
        <v>0</v>
      </c>
      <c r="BD574" s="21">
        <f t="shared" si="560"/>
        <v>0</v>
      </c>
      <c r="BE574" s="21">
        <f t="shared" si="561"/>
        <v>0</v>
      </c>
      <c r="BF574" s="21" t="s">
        <v>2492</v>
      </c>
      <c r="BG574" s="41">
        <v>7669</v>
      </c>
    </row>
    <row r="575" spans="1:59" x14ac:dyDescent="0.3">
      <c r="A575" s="4" t="s">
        <v>564</v>
      </c>
      <c r="B575" s="13"/>
      <c r="C575" s="13" t="s">
        <v>1183</v>
      </c>
      <c r="D575" s="101" t="s">
        <v>1962</v>
      </c>
      <c r="E575" s="102"/>
      <c r="F575" s="13" t="s">
        <v>2391</v>
      </c>
      <c r="G575" s="21">
        <v>8</v>
      </c>
      <c r="H575" s="21">
        <v>0</v>
      </c>
      <c r="I575" s="21">
        <f t="shared" si="538"/>
        <v>0</v>
      </c>
      <c r="J575" s="21">
        <f t="shared" si="539"/>
        <v>0</v>
      </c>
      <c r="K575" s="21">
        <f t="shared" si="540"/>
        <v>0</v>
      </c>
      <c r="L575" s="21">
        <v>0</v>
      </c>
      <c r="M575" s="21">
        <f t="shared" si="541"/>
        <v>0</v>
      </c>
      <c r="N575" s="35" t="s">
        <v>2417</v>
      </c>
      <c r="O575" s="39"/>
      <c r="U575" s="41">
        <f t="shared" si="542"/>
        <v>0</v>
      </c>
      <c r="W575" s="41">
        <f t="shared" si="543"/>
        <v>0</v>
      </c>
      <c r="X575" s="41">
        <f t="shared" si="544"/>
        <v>0</v>
      </c>
      <c r="Y575" s="41">
        <f t="shared" si="545"/>
        <v>0</v>
      </c>
      <c r="Z575" s="41">
        <f t="shared" si="546"/>
        <v>0</v>
      </c>
      <c r="AA575" s="41">
        <f t="shared" si="547"/>
        <v>0</v>
      </c>
      <c r="AB575" s="41">
        <f t="shared" si="548"/>
        <v>0</v>
      </c>
      <c r="AC575" s="41">
        <f t="shared" si="549"/>
        <v>0</v>
      </c>
      <c r="AD575" s="31"/>
      <c r="AE575" s="21">
        <f t="shared" si="550"/>
        <v>0</v>
      </c>
      <c r="AF575" s="21">
        <f t="shared" si="551"/>
        <v>0</v>
      </c>
      <c r="AG575" s="21">
        <f t="shared" si="552"/>
        <v>0</v>
      </c>
      <c r="AI575" s="41">
        <v>21</v>
      </c>
      <c r="AJ575" s="41">
        <f>H575*0.769230769230769</f>
        <v>0</v>
      </c>
      <c r="AK575" s="41">
        <f>H575*(1-0.769230769230769)</f>
        <v>0</v>
      </c>
      <c r="AL575" s="42" t="s">
        <v>13</v>
      </c>
      <c r="AQ575" s="41">
        <f t="shared" si="553"/>
        <v>0</v>
      </c>
      <c r="AR575" s="41">
        <f t="shared" si="554"/>
        <v>0</v>
      </c>
      <c r="AS575" s="41">
        <f t="shared" si="555"/>
        <v>0</v>
      </c>
      <c r="AT575" s="44" t="s">
        <v>2444</v>
      </c>
      <c r="AU575" s="44" t="s">
        <v>2482</v>
      </c>
      <c r="AV575" s="31" t="s">
        <v>2486</v>
      </c>
      <c r="AX575" s="41">
        <f t="shared" si="556"/>
        <v>0</v>
      </c>
      <c r="AY575" s="41">
        <f t="shared" si="557"/>
        <v>0</v>
      </c>
      <c r="AZ575" s="41">
        <v>0</v>
      </c>
      <c r="BA575" s="41">
        <f t="shared" si="558"/>
        <v>0</v>
      </c>
      <c r="BC575" s="21">
        <f t="shared" si="559"/>
        <v>0</v>
      </c>
      <c r="BD575" s="21">
        <f t="shared" si="560"/>
        <v>0</v>
      </c>
      <c r="BE575" s="21">
        <f t="shared" si="561"/>
        <v>0</v>
      </c>
      <c r="BF575" s="21" t="s">
        <v>2492</v>
      </c>
      <c r="BG575" s="41">
        <v>7669</v>
      </c>
    </row>
    <row r="576" spans="1:59" x14ac:dyDescent="0.3">
      <c r="A576" s="4" t="s">
        <v>565</v>
      </c>
      <c r="B576" s="13"/>
      <c r="C576" s="13" t="s">
        <v>1184</v>
      </c>
      <c r="D576" s="101" t="s">
        <v>1963</v>
      </c>
      <c r="E576" s="102"/>
      <c r="F576" s="13" t="s">
        <v>2391</v>
      </c>
      <c r="G576" s="21">
        <v>1</v>
      </c>
      <c r="H576" s="21">
        <v>0</v>
      </c>
      <c r="I576" s="21">
        <f t="shared" si="538"/>
        <v>0</v>
      </c>
      <c r="J576" s="21">
        <f t="shared" si="539"/>
        <v>0</v>
      </c>
      <c r="K576" s="21">
        <f t="shared" si="540"/>
        <v>0</v>
      </c>
      <c r="L576" s="21">
        <v>0</v>
      </c>
      <c r="M576" s="21">
        <f t="shared" si="541"/>
        <v>0</v>
      </c>
      <c r="N576" s="35" t="s">
        <v>2417</v>
      </c>
      <c r="O576" s="39"/>
      <c r="U576" s="41">
        <f t="shared" si="542"/>
        <v>0</v>
      </c>
      <c r="W576" s="41">
        <f t="shared" si="543"/>
        <v>0</v>
      </c>
      <c r="X576" s="41">
        <f t="shared" si="544"/>
        <v>0</v>
      </c>
      <c r="Y576" s="41">
        <f t="shared" si="545"/>
        <v>0</v>
      </c>
      <c r="Z576" s="41">
        <f t="shared" si="546"/>
        <v>0</v>
      </c>
      <c r="AA576" s="41">
        <f t="shared" si="547"/>
        <v>0</v>
      </c>
      <c r="AB576" s="41">
        <f t="shared" si="548"/>
        <v>0</v>
      </c>
      <c r="AC576" s="41">
        <f t="shared" si="549"/>
        <v>0</v>
      </c>
      <c r="AD576" s="31"/>
      <c r="AE576" s="21">
        <f t="shared" si="550"/>
        <v>0</v>
      </c>
      <c r="AF576" s="21">
        <f t="shared" si="551"/>
        <v>0</v>
      </c>
      <c r="AG576" s="21">
        <f t="shared" si="552"/>
        <v>0</v>
      </c>
      <c r="AI576" s="41">
        <v>21</v>
      </c>
      <c r="AJ576" s="41">
        <f>H576*0.781763031989743</f>
        <v>0</v>
      </c>
      <c r="AK576" s="41">
        <f>H576*(1-0.781763031989743)</f>
        <v>0</v>
      </c>
      <c r="AL576" s="42" t="s">
        <v>13</v>
      </c>
      <c r="AQ576" s="41">
        <f t="shared" si="553"/>
        <v>0</v>
      </c>
      <c r="AR576" s="41">
        <f t="shared" si="554"/>
        <v>0</v>
      </c>
      <c r="AS576" s="41">
        <f t="shared" si="555"/>
        <v>0</v>
      </c>
      <c r="AT576" s="44" t="s">
        <v>2444</v>
      </c>
      <c r="AU576" s="44" t="s">
        <v>2482</v>
      </c>
      <c r="AV576" s="31" t="s">
        <v>2486</v>
      </c>
      <c r="AX576" s="41">
        <f t="shared" si="556"/>
        <v>0</v>
      </c>
      <c r="AY576" s="41">
        <f t="shared" si="557"/>
        <v>0</v>
      </c>
      <c r="AZ576" s="41">
        <v>0</v>
      </c>
      <c r="BA576" s="41">
        <f t="shared" si="558"/>
        <v>0</v>
      </c>
      <c r="BC576" s="21">
        <f t="shared" si="559"/>
        <v>0</v>
      </c>
      <c r="BD576" s="21">
        <f t="shared" si="560"/>
        <v>0</v>
      </c>
      <c r="BE576" s="21">
        <f t="shared" si="561"/>
        <v>0</v>
      </c>
      <c r="BF576" s="21" t="s">
        <v>2492</v>
      </c>
      <c r="BG576" s="41">
        <v>7669</v>
      </c>
    </row>
    <row r="577" spans="1:59" x14ac:dyDescent="0.3">
      <c r="A577" s="4" t="s">
        <v>566</v>
      </c>
      <c r="B577" s="13"/>
      <c r="C577" s="13" t="s">
        <v>1185</v>
      </c>
      <c r="D577" s="101" t="s">
        <v>1964</v>
      </c>
      <c r="E577" s="102"/>
      <c r="F577" s="13" t="s">
        <v>2391</v>
      </c>
      <c r="G577" s="21">
        <v>1</v>
      </c>
      <c r="H577" s="21">
        <v>0</v>
      </c>
      <c r="I577" s="21">
        <f t="shared" si="538"/>
        <v>0</v>
      </c>
      <c r="J577" s="21">
        <f t="shared" si="539"/>
        <v>0</v>
      </c>
      <c r="K577" s="21">
        <f t="shared" si="540"/>
        <v>0</v>
      </c>
      <c r="L577" s="21">
        <v>0</v>
      </c>
      <c r="M577" s="21">
        <f t="shared" si="541"/>
        <v>0</v>
      </c>
      <c r="N577" s="35" t="s">
        <v>2417</v>
      </c>
      <c r="O577" s="39"/>
      <c r="U577" s="41">
        <f t="shared" si="542"/>
        <v>0</v>
      </c>
      <c r="W577" s="41">
        <f t="shared" si="543"/>
        <v>0</v>
      </c>
      <c r="X577" s="41">
        <f t="shared" si="544"/>
        <v>0</v>
      </c>
      <c r="Y577" s="41">
        <f t="shared" si="545"/>
        <v>0</v>
      </c>
      <c r="Z577" s="41">
        <f t="shared" si="546"/>
        <v>0</v>
      </c>
      <c r="AA577" s="41">
        <f t="shared" si="547"/>
        <v>0</v>
      </c>
      <c r="AB577" s="41">
        <f t="shared" si="548"/>
        <v>0</v>
      </c>
      <c r="AC577" s="41">
        <f t="shared" si="549"/>
        <v>0</v>
      </c>
      <c r="AD577" s="31"/>
      <c r="AE577" s="21">
        <f t="shared" si="550"/>
        <v>0</v>
      </c>
      <c r="AF577" s="21">
        <f t="shared" si="551"/>
        <v>0</v>
      </c>
      <c r="AG577" s="21">
        <f t="shared" si="552"/>
        <v>0</v>
      </c>
      <c r="AI577" s="41">
        <v>21</v>
      </c>
      <c r="AJ577" s="41">
        <f>H577*0.886115322471582</f>
        <v>0</v>
      </c>
      <c r="AK577" s="41">
        <f>H577*(1-0.886115322471582)</f>
        <v>0</v>
      </c>
      <c r="AL577" s="42" t="s">
        <v>13</v>
      </c>
      <c r="AQ577" s="41">
        <f t="shared" si="553"/>
        <v>0</v>
      </c>
      <c r="AR577" s="41">
        <f t="shared" si="554"/>
        <v>0</v>
      </c>
      <c r="AS577" s="41">
        <f t="shared" si="555"/>
        <v>0</v>
      </c>
      <c r="AT577" s="44" t="s">
        <v>2444</v>
      </c>
      <c r="AU577" s="44" t="s">
        <v>2482</v>
      </c>
      <c r="AV577" s="31" t="s">
        <v>2486</v>
      </c>
      <c r="AX577" s="41">
        <f t="shared" si="556"/>
        <v>0</v>
      </c>
      <c r="AY577" s="41">
        <f t="shared" si="557"/>
        <v>0</v>
      </c>
      <c r="AZ577" s="41">
        <v>0</v>
      </c>
      <c r="BA577" s="41">
        <f t="shared" si="558"/>
        <v>0</v>
      </c>
      <c r="BC577" s="21">
        <f t="shared" si="559"/>
        <v>0</v>
      </c>
      <c r="BD577" s="21">
        <f t="shared" si="560"/>
        <v>0</v>
      </c>
      <c r="BE577" s="21">
        <f t="shared" si="561"/>
        <v>0</v>
      </c>
      <c r="BF577" s="21" t="s">
        <v>2492</v>
      </c>
      <c r="BG577" s="41">
        <v>7669</v>
      </c>
    </row>
    <row r="578" spans="1:59" x14ac:dyDescent="0.3">
      <c r="A578" s="4" t="s">
        <v>567</v>
      </c>
      <c r="B578" s="13"/>
      <c r="C578" s="13" t="s">
        <v>1186</v>
      </c>
      <c r="D578" s="101" t="s">
        <v>1965</v>
      </c>
      <c r="E578" s="102"/>
      <c r="F578" s="13" t="s">
        <v>2391</v>
      </c>
      <c r="G578" s="21">
        <v>1</v>
      </c>
      <c r="H578" s="21">
        <v>0</v>
      </c>
      <c r="I578" s="21">
        <f t="shared" si="538"/>
        <v>0</v>
      </c>
      <c r="J578" s="21">
        <f t="shared" si="539"/>
        <v>0</v>
      </c>
      <c r="K578" s="21">
        <f t="shared" si="540"/>
        <v>0</v>
      </c>
      <c r="L578" s="21">
        <v>0</v>
      </c>
      <c r="M578" s="21">
        <f t="shared" si="541"/>
        <v>0</v>
      </c>
      <c r="N578" s="35" t="s">
        <v>2417</v>
      </c>
      <c r="O578" s="39"/>
      <c r="U578" s="41">
        <f t="shared" si="542"/>
        <v>0</v>
      </c>
      <c r="W578" s="41">
        <f t="shared" si="543"/>
        <v>0</v>
      </c>
      <c r="X578" s="41">
        <f t="shared" si="544"/>
        <v>0</v>
      </c>
      <c r="Y578" s="41">
        <f t="shared" si="545"/>
        <v>0</v>
      </c>
      <c r="Z578" s="41">
        <f t="shared" si="546"/>
        <v>0</v>
      </c>
      <c r="AA578" s="41">
        <f t="shared" si="547"/>
        <v>0</v>
      </c>
      <c r="AB578" s="41">
        <f t="shared" si="548"/>
        <v>0</v>
      </c>
      <c r="AC578" s="41">
        <f t="shared" si="549"/>
        <v>0</v>
      </c>
      <c r="AD578" s="31"/>
      <c r="AE578" s="21">
        <f t="shared" si="550"/>
        <v>0</v>
      </c>
      <c r="AF578" s="21">
        <f t="shared" si="551"/>
        <v>0</v>
      </c>
      <c r="AG578" s="21">
        <f t="shared" si="552"/>
        <v>0</v>
      </c>
      <c r="AI578" s="41">
        <v>21</v>
      </c>
      <c r="AJ578" s="41">
        <f>H578*0.827292156905075</f>
        <v>0</v>
      </c>
      <c r="AK578" s="41">
        <f>H578*(1-0.827292156905075)</f>
        <v>0</v>
      </c>
      <c r="AL578" s="42" t="s">
        <v>13</v>
      </c>
      <c r="AQ578" s="41">
        <f t="shared" si="553"/>
        <v>0</v>
      </c>
      <c r="AR578" s="41">
        <f t="shared" si="554"/>
        <v>0</v>
      </c>
      <c r="AS578" s="41">
        <f t="shared" si="555"/>
        <v>0</v>
      </c>
      <c r="AT578" s="44" t="s">
        <v>2444</v>
      </c>
      <c r="AU578" s="44" t="s">
        <v>2482</v>
      </c>
      <c r="AV578" s="31" t="s">
        <v>2486</v>
      </c>
      <c r="AX578" s="41">
        <f t="shared" si="556"/>
        <v>0</v>
      </c>
      <c r="AY578" s="41">
        <f t="shared" si="557"/>
        <v>0</v>
      </c>
      <c r="AZ578" s="41">
        <v>0</v>
      </c>
      <c r="BA578" s="41">
        <f t="shared" si="558"/>
        <v>0</v>
      </c>
      <c r="BC578" s="21">
        <f t="shared" si="559"/>
        <v>0</v>
      </c>
      <c r="BD578" s="21">
        <f t="shared" si="560"/>
        <v>0</v>
      </c>
      <c r="BE578" s="21">
        <f t="shared" si="561"/>
        <v>0</v>
      </c>
      <c r="BF578" s="21" t="s">
        <v>2492</v>
      </c>
      <c r="BG578" s="41">
        <v>7669</v>
      </c>
    </row>
    <row r="579" spans="1:59" x14ac:dyDescent="0.3">
      <c r="A579" s="4" t="s">
        <v>568</v>
      </c>
      <c r="B579" s="13"/>
      <c r="C579" s="13" t="s">
        <v>1187</v>
      </c>
      <c r="D579" s="101" t="s">
        <v>1966</v>
      </c>
      <c r="E579" s="102"/>
      <c r="F579" s="13" t="s">
        <v>2391</v>
      </c>
      <c r="G579" s="21">
        <v>112</v>
      </c>
      <c r="H579" s="21">
        <v>0</v>
      </c>
      <c r="I579" s="21">
        <f t="shared" si="538"/>
        <v>0</v>
      </c>
      <c r="J579" s="21">
        <f t="shared" si="539"/>
        <v>0</v>
      </c>
      <c r="K579" s="21">
        <f t="shared" si="540"/>
        <v>0</v>
      </c>
      <c r="L579" s="21">
        <v>0</v>
      </c>
      <c r="M579" s="21">
        <f t="shared" si="541"/>
        <v>0</v>
      </c>
      <c r="N579" s="35" t="s">
        <v>2417</v>
      </c>
      <c r="O579" s="39"/>
      <c r="U579" s="41">
        <f t="shared" si="542"/>
        <v>0</v>
      </c>
      <c r="W579" s="41">
        <f t="shared" si="543"/>
        <v>0</v>
      </c>
      <c r="X579" s="41">
        <f t="shared" si="544"/>
        <v>0</v>
      </c>
      <c r="Y579" s="41">
        <f t="shared" si="545"/>
        <v>0</v>
      </c>
      <c r="Z579" s="41">
        <f t="shared" si="546"/>
        <v>0</v>
      </c>
      <c r="AA579" s="41">
        <f t="shared" si="547"/>
        <v>0</v>
      </c>
      <c r="AB579" s="41">
        <f t="shared" si="548"/>
        <v>0</v>
      </c>
      <c r="AC579" s="41">
        <f t="shared" si="549"/>
        <v>0</v>
      </c>
      <c r="AD579" s="31"/>
      <c r="AE579" s="21">
        <f t="shared" si="550"/>
        <v>0</v>
      </c>
      <c r="AF579" s="21">
        <f t="shared" si="551"/>
        <v>0</v>
      </c>
      <c r="AG579" s="21">
        <f t="shared" si="552"/>
        <v>0</v>
      </c>
      <c r="AI579" s="41">
        <v>21</v>
      </c>
      <c r="AJ579" s="41">
        <f>H579*0.848484848484849</f>
        <v>0</v>
      </c>
      <c r="AK579" s="41">
        <f>H579*(1-0.848484848484849)</f>
        <v>0</v>
      </c>
      <c r="AL579" s="42" t="s">
        <v>13</v>
      </c>
      <c r="AQ579" s="41">
        <f t="shared" si="553"/>
        <v>0</v>
      </c>
      <c r="AR579" s="41">
        <f t="shared" si="554"/>
        <v>0</v>
      </c>
      <c r="AS579" s="41">
        <f t="shared" si="555"/>
        <v>0</v>
      </c>
      <c r="AT579" s="44" t="s">
        <v>2444</v>
      </c>
      <c r="AU579" s="44" t="s">
        <v>2482</v>
      </c>
      <c r="AV579" s="31" t="s">
        <v>2486</v>
      </c>
      <c r="AX579" s="41">
        <f t="shared" si="556"/>
        <v>0</v>
      </c>
      <c r="AY579" s="41">
        <f t="shared" si="557"/>
        <v>0</v>
      </c>
      <c r="AZ579" s="41">
        <v>0</v>
      </c>
      <c r="BA579" s="41">
        <f t="shared" si="558"/>
        <v>0</v>
      </c>
      <c r="BC579" s="21">
        <f t="shared" si="559"/>
        <v>0</v>
      </c>
      <c r="BD579" s="21">
        <f t="shared" si="560"/>
        <v>0</v>
      </c>
      <c r="BE579" s="21">
        <f t="shared" si="561"/>
        <v>0</v>
      </c>
      <c r="BF579" s="21" t="s">
        <v>2492</v>
      </c>
      <c r="BG579" s="41">
        <v>7669</v>
      </c>
    </row>
    <row r="580" spans="1:59" x14ac:dyDescent="0.3">
      <c r="A580" s="4" t="s">
        <v>569</v>
      </c>
      <c r="B580" s="13"/>
      <c r="C580" s="13" t="s">
        <v>1188</v>
      </c>
      <c r="D580" s="101" t="s">
        <v>1967</v>
      </c>
      <c r="E580" s="102"/>
      <c r="F580" s="13" t="s">
        <v>2391</v>
      </c>
      <c r="G580" s="21">
        <v>1</v>
      </c>
      <c r="H580" s="21">
        <v>0</v>
      </c>
      <c r="I580" s="21">
        <f t="shared" si="538"/>
        <v>0</v>
      </c>
      <c r="J580" s="21">
        <f t="shared" si="539"/>
        <v>0</v>
      </c>
      <c r="K580" s="21">
        <f t="shared" si="540"/>
        <v>0</v>
      </c>
      <c r="L580" s="21">
        <v>0</v>
      </c>
      <c r="M580" s="21">
        <f t="shared" si="541"/>
        <v>0</v>
      </c>
      <c r="N580" s="35" t="s">
        <v>2417</v>
      </c>
      <c r="O580" s="39"/>
      <c r="U580" s="41">
        <f t="shared" si="542"/>
        <v>0</v>
      </c>
      <c r="W580" s="41">
        <f t="shared" si="543"/>
        <v>0</v>
      </c>
      <c r="X580" s="41">
        <f t="shared" si="544"/>
        <v>0</v>
      </c>
      <c r="Y580" s="41">
        <f t="shared" si="545"/>
        <v>0</v>
      </c>
      <c r="Z580" s="41">
        <f t="shared" si="546"/>
        <v>0</v>
      </c>
      <c r="AA580" s="41">
        <f t="shared" si="547"/>
        <v>0</v>
      </c>
      <c r="AB580" s="41">
        <f t="shared" si="548"/>
        <v>0</v>
      </c>
      <c r="AC580" s="41">
        <f t="shared" si="549"/>
        <v>0</v>
      </c>
      <c r="AD580" s="31"/>
      <c r="AE580" s="21">
        <f t="shared" si="550"/>
        <v>0</v>
      </c>
      <c r="AF580" s="21">
        <f t="shared" si="551"/>
        <v>0</v>
      </c>
      <c r="AG580" s="21">
        <f t="shared" si="552"/>
        <v>0</v>
      </c>
      <c r="AI580" s="41">
        <v>21</v>
      </c>
      <c r="AJ580" s="41">
        <f>H580*0.787899676547007</f>
        <v>0</v>
      </c>
      <c r="AK580" s="41">
        <f>H580*(1-0.787899676547007)</f>
        <v>0</v>
      </c>
      <c r="AL580" s="42" t="s">
        <v>13</v>
      </c>
      <c r="AQ580" s="41">
        <f t="shared" si="553"/>
        <v>0</v>
      </c>
      <c r="AR580" s="41">
        <f t="shared" si="554"/>
        <v>0</v>
      </c>
      <c r="AS580" s="41">
        <f t="shared" si="555"/>
        <v>0</v>
      </c>
      <c r="AT580" s="44" t="s">
        <v>2444</v>
      </c>
      <c r="AU580" s="44" t="s">
        <v>2482</v>
      </c>
      <c r="AV580" s="31" t="s">
        <v>2486</v>
      </c>
      <c r="AX580" s="41">
        <f t="shared" si="556"/>
        <v>0</v>
      </c>
      <c r="AY580" s="41">
        <f t="shared" si="557"/>
        <v>0</v>
      </c>
      <c r="AZ580" s="41">
        <v>0</v>
      </c>
      <c r="BA580" s="41">
        <f t="shared" si="558"/>
        <v>0</v>
      </c>
      <c r="BC580" s="21">
        <f t="shared" si="559"/>
        <v>0</v>
      </c>
      <c r="BD580" s="21">
        <f t="shared" si="560"/>
        <v>0</v>
      </c>
      <c r="BE580" s="21">
        <f t="shared" si="561"/>
        <v>0</v>
      </c>
      <c r="BF580" s="21" t="s">
        <v>2492</v>
      </c>
      <c r="BG580" s="41">
        <v>7669</v>
      </c>
    </row>
    <row r="581" spans="1:59" x14ac:dyDescent="0.3">
      <c r="A581" s="4" t="s">
        <v>570</v>
      </c>
      <c r="B581" s="13"/>
      <c r="C581" s="13" t="s">
        <v>1189</v>
      </c>
      <c r="D581" s="101" t="s">
        <v>1968</v>
      </c>
      <c r="E581" s="102"/>
      <c r="F581" s="13" t="s">
        <v>2391</v>
      </c>
      <c r="G581" s="21">
        <v>1</v>
      </c>
      <c r="H581" s="21">
        <v>0</v>
      </c>
      <c r="I581" s="21">
        <f t="shared" si="538"/>
        <v>0</v>
      </c>
      <c r="J581" s="21">
        <f t="shared" si="539"/>
        <v>0</v>
      </c>
      <c r="K581" s="21">
        <f t="shared" si="540"/>
        <v>0</v>
      </c>
      <c r="L581" s="21">
        <v>0</v>
      </c>
      <c r="M581" s="21">
        <f t="shared" si="541"/>
        <v>0</v>
      </c>
      <c r="N581" s="35" t="s">
        <v>2417</v>
      </c>
      <c r="O581" s="39"/>
      <c r="U581" s="41">
        <f t="shared" si="542"/>
        <v>0</v>
      </c>
      <c r="W581" s="41">
        <f t="shared" si="543"/>
        <v>0</v>
      </c>
      <c r="X581" s="41">
        <f t="shared" si="544"/>
        <v>0</v>
      </c>
      <c r="Y581" s="41">
        <f t="shared" si="545"/>
        <v>0</v>
      </c>
      <c r="Z581" s="41">
        <f t="shared" si="546"/>
        <v>0</v>
      </c>
      <c r="AA581" s="41">
        <f t="shared" si="547"/>
        <v>0</v>
      </c>
      <c r="AB581" s="41">
        <f t="shared" si="548"/>
        <v>0</v>
      </c>
      <c r="AC581" s="41">
        <f t="shared" si="549"/>
        <v>0</v>
      </c>
      <c r="AD581" s="31"/>
      <c r="AE581" s="21">
        <f t="shared" si="550"/>
        <v>0</v>
      </c>
      <c r="AF581" s="21">
        <f t="shared" si="551"/>
        <v>0</v>
      </c>
      <c r="AG581" s="21">
        <f t="shared" si="552"/>
        <v>0</v>
      </c>
      <c r="AI581" s="41">
        <v>21</v>
      </c>
      <c r="AJ581" s="41">
        <f>H581*0.803799780781878</f>
        <v>0</v>
      </c>
      <c r="AK581" s="41">
        <f>H581*(1-0.803799780781878)</f>
        <v>0</v>
      </c>
      <c r="AL581" s="42" t="s">
        <v>13</v>
      </c>
      <c r="AQ581" s="41">
        <f t="shared" si="553"/>
        <v>0</v>
      </c>
      <c r="AR581" s="41">
        <f t="shared" si="554"/>
        <v>0</v>
      </c>
      <c r="AS581" s="41">
        <f t="shared" si="555"/>
        <v>0</v>
      </c>
      <c r="AT581" s="44" t="s">
        <v>2444</v>
      </c>
      <c r="AU581" s="44" t="s">
        <v>2482</v>
      </c>
      <c r="AV581" s="31" t="s">
        <v>2486</v>
      </c>
      <c r="AX581" s="41">
        <f t="shared" si="556"/>
        <v>0</v>
      </c>
      <c r="AY581" s="41">
        <f t="shared" si="557"/>
        <v>0</v>
      </c>
      <c r="AZ581" s="41">
        <v>0</v>
      </c>
      <c r="BA581" s="41">
        <f t="shared" si="558"/>
        <v>0</v>
      </c>
      <c r="BC581" s="21">
        <f t="shared" si="559"/>
        <v>0</v>
      </c>
      <c r="BD581" s="21">
        <f t="shared" si="560"/>
        <v>0</v>
      </c>
      <c r="BE581" s="21">
        <f t="shared" si="561"/>
        <v>0</v>
      </c>
      <c r="BF581" s="21" t="s">
        <v>2492</v>
      </c>
      <c r="BG581" s="41">
        <v>7669</v>
      </c>
    </row>
    <row r="582" spans="1:59" x14ac:dyDescent="0.3">
      <c r="A582" s="4" t="s">
        <v>571</v>
      </c>
      <c r="B582" s="13"/>
      <c r="C582" s="13" t="s">
        <v>1190</v>
      </c>
      <c r="D582" s="101" t="s">
        <v>1969</v>
      </c>
      <c r="E582" s="102"/>
      <c r="F582" s="13" t="s">
        <v>2391</v>
      </c>
      <c r="G582" s="21">
        <v>1</v>
      </c>
      <c r="H582" s="21">
        <v>0</v>
      </c>
      <c r="I582" s="21">
        <f t="shared" si="538"/>
        <v>0</v>
      </c>
      <c r="J582" s="21">
        <f t="shared" si="539"/>
        <v>0</v>
      </c>
      <c r="K582" s="21">
        <f t="shared" si="540"/>
        <v>0</v>
      </c>
      <c r="L582" s="21">
        <v>0</v>
      </c>
      <c r="M582" s="21">
        <f t="shared" si="541"/>
        <v>0</v>
      </c>
      <c r="N582" s="35" t="s">
        <v>2417</v>
      </c>
      <c r="O582" s="39"/>
      <c r="U582" s="41">
        <f t="shared" si="542"/>
        <v>0</v>
      </c>
      <c r="W582" s="41">
        <f t="shared" si="543"/>
        <v>0</v>
      </c>
      <c r="X582" s="41">
        <f t="shared" si="544"/>
        <v>0</v>
      </c>
      <c r="Y582" s="41">
        <f t="shared" si="545"/>
        <v>0</v>
      </c>
      <c r="Z582" s="41">
        <f t="shared" si="546"/>
        <v>0</v>
      </c>
      <c r="AA582" s="41">
        <f t="shared" si="547"/>
        <v>0</v>
      </c>
      <c r="AB582" s="41">
        <f t="shared" si="548"/>
        <v>0</v>
      </c>
      <c r="AC582" s="41">
        <f t="shared" si="549"/>
        <v>0</v>
      </c>
      <c r="AD582" s="31"/>
      <c r="AE582" s="21">
        <f t="shared" si="550"/>
        <v>0</v>
      </c>
      <c r="AF582" s="21">
        <f t="shared" si="551"/>
        <v>0</v>
      </c>
      <c r="AG582" s="21">
        <f t="shared" si="552"/>
        <v>0</v>
      </c>
      <c r="AI582" s="41">
        <v>21</v>
      </c>
      <c r="AJ582" s="41">
        <f>H582*0.80217802882133</f>
        <v>0</v>
      </c>
      <c r="AK582" s="41">
        <f>H582*(1-0.80217802882133)</f>
        <v>0</v>
      </c>
      <c r="AL582" s="42" t="s">
        <v>13</v>
      </c>
      <c r="AQ582" s="41">
        <f t="shared" si="553"/>
        <v>0</v>
      </c>
      <c r="AR582" s="41">
        <f t="shared" si="554"/>
        <v>0</v>
      </c>
      <c r="AS582" s="41">
        <f t="shared" si="555"/>
        <v>0</v>
      </c>
      <c r="AT582" s="44" t="s">
        <v>2444</v>
      </c>
      <c r="AU582" s="44" t="s">
        <v>2482</v>
      </c>
      <c r="AV582" s="31" t="s">
        <v>2486</v>
      </c>
      <c r="AX582" s="41">
        <f t="shared" si="556"/>
        <v>0</v>
      </c>
      <c r="AY582" s="41">
        <f t="shared" si="557"/>
        <v>0</v>
      </c>
      <c r="AZ582" s="41">
        <v>0</v>
      </c>
      <c r="BA582" s="41">
        <f t="shared" si="558"/>
        <v>0</v>
      </c>
      <c r="BC582" s="21">
        <f t="shared" si="559"/>
        <v>0</v>
      </c>
      <c r="BD582" s="21">
        <f t="shared" si="560"/>
        <v>0</v>
      </c>
      <c r="BE582" s="21">
        <f t="shared" si="561"/>
        <v>0</v>
      </c>
      <c r="BF582" s="21" t="s">
        <v>2492</v>
      </c>
      <c r="BG582" s="41">
        <v>7669</v>
      </c>
    </row>
    <row r="583" spans="1:59" x14ac:dyDescent="0.3">
      <c r="A583" s="4" t="s">
        <v>572</v>
      </c>
      <c r="B583" s="13"/>
      <c r="C583" s="13" t="s">
        <v>1191</v>
      </c>
      <c r="D583" s="101" t="s">
        <v>1970</v>
      </c>
      <c r="E583" s="102"/>
      <c r="F583" s="13" t="s">
        <v>2391</v>
      </c>
      <c r="G583" s="21">
        <v>14</v>
      </c>
      <c r="H583" s="21">
        <v>0</v>
      </c>
      <c r="I583" s="21">
        <f t="shared" si="538"/>
        <v>0</v>
      </c>
      <c r="J583" s="21">
        <f t="shared" si="539"/>
        <v>0</v>
      </c>
      <c r="K583" s="21">
        <f t="shared" si="540"/>
        <v>0</v>
      </c>
      <c r="L583" s="21">
        <v>0</v>
      </c>
      <c r="M583" s="21">
        <f t="shared" si="541"/>
        <v>0</v>
      </c>
      <c r="N583" s="35" t="s">
        <v>2417</v>
      </c>
      <c r="O583" s="39"/>
      <c r="U583" s="41">
        <f t="shared" si="542"/>
        <v>0</v>
      </c>
      <c r="W583" s="41">
        <f t="shared" si="543"/>
        <v>0</v>
      </c>
      <c r="X583" s="41">
        <f t="shared" si="544"/>
        <v>0</v>
      </c>
      <c r="Y583" s="41">
        <f t="shared" si="545"/>
        <v>0</v>
      </c>
      <c r="Z583" s="41">
        <f t="shared" si="546"/>
        <v>0</v>
      </c>
      <c r="AA583" s="41">
        <f t="shared" si="547"/>
        <v>0</v>
      </c>
      <c r="AB583" s="41">
        <f t="shared" si="548"/>
        <v>0</v>
      </c>
      <c r="AC583" s="41">
        <f t="shared" si="549"/>
        <v>0</v>
      </c>
      <c r="AD583" s="31"/>
      <c r="AE583" s="21">
        <f t="shared" si="550"/>
        <v>0</v>
      </c>
      <c r="AF583" s="21">
        <f t="shared" si="551"/>
        <v>0</v>
      </c>
      <c r="AG583" s="21">
        <f t="shared" si="552"/>
        <v>0</v>
      </c>
      <c r="AI583" s="41">
        <v>21</v>
      </c>
      <c r="AJ583" s="41">
        <f>H583*0.782595085302864</f>
        <v>0</v>
      </c>
      <c r="AK583" s="41">
        <f>H583*(1-0.782595085302864)</f>
        <v>0</v>
      </c>
      <c r="AL583" s="42" t="s">
        <v>13</v>
      </c>
      <c r="AQ583" s="41">
        <f t="shared" si="553"/>
        <v>0</v>
      </c>
      <c r="AR583" s="41">
        <f t="shared" si="554"/>
        <v>0</v>
      </c>
      <c r="AS583" s="41">
        <f t="shared" si="555"/>
        <v>0</v>
      </c>
      <c r="AT583" s="44" t="s">
        <v>2444</v>
      </c>
      <c r="AU583" s="44" t="s">
        <v>2482</v>
      </c>
      <c r="AV583" s="31" t="s">
        <v>2486</v>
      </c>
      <c r="AX583" s="41">
        <f t="shared" si="556"/>
        <v>0</v>
      </c>
      <c r="AY583" s="41">
        <f t="shared" si="557"/>
        <v>0</v>
      </c>
      <c r="AZ583" s="41">
        <v>0</v>
      </c>
      <c r="BA583" s="41">
        <f t="shared" si="558"/>
        <v>0</v>
      </c>
      <c r="BC583" s="21">
        <f t="shared" si="559"/>
        <v>0</v>
      </c>
      <c r="BD583" s="21">
        <f t="shared" si="560"/>
        <v>0</v>
      </c>
      <c r="BE583" s="21">
        <f t="shared" si="561"/>
        <v>0</v>
      </c>
      <c r="BF583" s="21" t="s">
        <v>2492</v>
      </c>
      <c r="BG583" s="41">
        <v>7669</v>
      </c>
    </row>
    <row r="584" spans="1:59" x14ac:dyDescent="0.3">
      <c r="A584" s="4" t="s">
        <v>573</v>
      </c>
      <c r="B584" s="13"/>
      <c r="C584" s="13" t="s">
        <v>1192</v>
      </c>
      <c r="D584" s="101" t="s">
        <v>1971</v>
      </c>
      <c r="E584" s="102"/>
      <c r="F584" s="13" t="s">
        <v>2391</v>
      </c>
      <c r="G584" s="21">
        <v>1</v>
      </c>
      <c r="H584" s="21">
        <v>0</v>
      </c>
      <c r="I584" s="21">
        <f t="shared" si="538"/>
        <v>0</v>
      </c>
      <c r="J584" s="21">
        <f t="shared" si="539"/>
        <v>0</v>
      </c>
      <c r="K584" s="21">
        <f t="shared" si="540"/>
        <v>0</v>
      </c>
      <c r="L584" s="21">
        <v>0</v>
      </c>
      <c r="M584" s="21">
        <f t="shared" si="541"/>
        <v>0</v>
      </c>
      <c r="N584" s="35" t="s">
        <v>2417</v>
      </c>
      <c r="O584" s="39"/>
      <c r="U584" s="41">
        <f t="shared" si="542"/>
        <v>0</v>
      </c>
      <c r="W584" s="41">
        <f t="shared" si="543"/>
        <v>0</v>
      </c>
      <c r="X584" s="41">
        <f t="shared" si="544"/>
        <v>0</v>
      </c>
      <c r="Y584" s="41">
        <f t="shared" si="545"/>
        <v>0</v>
      </c>
      <c r="Z584" s="41">
        <f t="shared" si="546"/>
        <v>0</v>
      </c>
      <c r="AA584" s="41">
        <f t="shared" si="547"/>
        <v>0</v>
      </c>
      <c r="AB584" s="41">
        <f t="shared" si="548"/>
        <v>0</v>
      </c>
      <c r="AC584" s="41">
        <f t="shared" si="549"/>
        <v>0</v>
      </c>
      <c r="AD584" s="31"/>
      <c r="AE584" s="21">
        <f t="shared" si="550"/>
        <v>0</v>
      </c>
      <c r="AF584" s="21">
        <f t="shared" si="551"/>
        <v>0</v>
      </c>
      <c r="AG584" s="21">
        <f t="shared" si="552"/>
        <v>0</v>
      </c>
      <c r="AI584" s="41">
        <v>21</v>
      </c>
      <c r="AJ584" s="41">
        <f>H584*0.921558168540119</f>
        <v>0</v>
      </c>
      <c r="AK584" s="41">
        <f>H584*(1-0.921558168540119)</f>
        <v>0</v>
      </c>
      <c r="AL584" s="42" t="s">
        <v>13</v>
      </c>
      <c r="AQ584" s="41">
        <f t="shared" si="553"/>
        <v>0</v>
      </c>
      <c r="AR584" s="41">
        <f t="shared" si="554"/>
        <v>0</v>
      </c>
      <c r="AS584" s="41">
        <f t="shared" si="555"/>
        <v>0</v>
      </c>
      <c r="AT584" s="44" t="s">
        <v>2444</v>
      </c>
      <c r="AU584" s="44" t="s">
        <v>2482</v>
      </c>
      <c r="AV584" s="31" t="s">
        <v>2486</v>
      </c>
      <c r="AX584" s="41">
        <f t="shared" si="556"/>
        <v>0</v>
      </c>
      <c r="AY584" s="41">
        <f t="shared" si="557"/>
        <v>0</v>
      </c>
      <c r="AZ584" s="41">
        <v>0</v>
      </c>
      <c r="BA584" s="41">
        <f t="shared" si="558"/>
        <v>0</v>
      </c>
      <c r="BC584" s="21">
        <f t="shared" si="559"/>
        <v>0</v>
      </c>
      <c r="BD584" s="21">
        <f t="shared" si="560"/>
        <v>0</v>
      </c>
      <c r="BE584" s="21">
        <f t="shared" si="561"/>
        <v>0</v>
      </c>
      <c r="BF584" s="21" t="s">
        <v>2492</v>
      </c>
      <c r="BG584" s="41">
        <v>7669</v>
      </c>
    </row>
    <row r="585" spans="1:59" x14ac:dyDescent="0.3">
      <c r="A585" s="4" t="s">
        <v>574</v>
      </c>
      <c r="B585" s="13"/>
      <c r="C585" s="13" t="s">
        <v>1193</v>
      </c>
      <c r="D585" s="101" t="s">
        <v>1972</v>
      </c>
      <c r="E585" s="102"/>
      <c r="F585" s="13" t="s">
        <v>2391</v>
      </c>
      <c r="G585" s="21">
        <v>1</v>
      </c>
      <c r="H585" s="21">
        <v>0</v>
      </c>
      <c r="I585" s="21">
        <f t="shared" si="538"/>
        <v>0</v>
      </c>
      <c r="J585" s="21">
        <f t="shared" si="539"/>
        <v>0</v>
      </c>
      <c r="K585" s="21">
        <f t="shared" si="540"/>
        <v>0</v>
      </c>
      <c r="L585" s="21">
        <v>0</v>
      </c>
      <c r="M585" s="21">
        <f t="shared" si="541"/>
        <v>0</v>
      </c>
      <c r="N585" s="35" t="s">
        <v>2417</v>
      </c>
      <c r="O585" s="39"/>
      <c r="U585" s="41">
        <f t="shared" si="542"/>
        <v>0</v>
      </c>
      <c r="W585" s="41">
        <f t="shared" si="543"/>
        <v>0</v>
      </c>
      <c r="X585" s="41">
        <f t="shared" si="544"/>
        <v>0</v>
      </c>
      <c r="Y585" s="41">
        <f t="shared" si="545"/>
        <v>0</v>
      </c>
      <c r="Z585" s="41">
        <f t="shared" si="546"/>
        <v>0</v>
      </c>
      <c r="AA585" s="41">
        <f t="shared" si="547"/>
        <v>0</v>
      </c>
      <c r="AB585" s="41">
        <f t="shared" si="548"/>
        <v>0</v>
      </c>
      <c r="AC585" s="41">
        <f t="shared" si="549"/>
        <v>0</v>
      </c>
      <c r="AD585" s="31"/>
      <c r="AE585" s="21">
        <f t="shared" si="550"/>
        <v>0</v>
      </c>
      <c r="AF585" s="21">
        <f t="shared" si="551"/>
        <v>0</v>
      </c>
      <c r="AG585" s="21">
        <f t="shared" si="552"/>
        <v>0</v>
      </c>
      <c r="AI585" s="41">
        <v>21</v>
      </c>
      <c r="AJ585" s="41">
        <f>H585*0.854896341574012</f>
        <v>0</v>
      </c>
      <c r="AK585" s="41">
        <f>H585*(1-0.854896341574012)</f>
        <v>0</v>
      </c>
      <c r="AL585" s="42" t="s">
        <v>13</v>
      </c>
      <c r="AQ585" s="41">
        <f t="shared" si="553"/>
        <v>0</v>
      </c>
      <c r="AR585" s="41">
        <f t="shared" si="554"/>
        <v>0</v>
      </c>
      <c r="AS585" s="41">
        <f t="shared" si="555"/>
        <v>0</v>
      </c>
      <c r="AT585" s="44" t="s">
        <v>2444</v>
      </c>
      <c r="AU585" s="44" t="s">
        <v>2482</v>
      </c>
      <c r="AV585" s="31" t="s">
        <v>2486</v>
      </c>
      <c r="AX585" s="41">
        <f t="shared" si="556"/>
        <v>0</v>
      </c>
      <c r="AY585" s="41">
        <f t="shared" si="557"/>
        <v>0</v>
      </c>
      <c r="AZ585" s="41">
        <v>0</v>
      </c>
      <c r="BA585" s="41">
        <f t="shared" si="558"/>
        <v>0</v>
      </c>
      <c r="BC585" s="21">
        <f t="shared" si="559"/>
        <v>0</v>
      </c>
      <c r="BD585" s="21">
        <f t="shared" si="560"/>
        <v>0</v>
      </c>
      <c r="BE585" s="21">
        <f t="shared" si="561"/>
        <v>0</v>
      </c>
      <c r="BF585" s="21" t="s">
        <v>2492</v>
      </c>
      <c r="BG585" s="41">
        <v>7669</v>
      </c>
    </row>
    <row r="586" spans="1:59" x14ac:dyDescent="0.3">
      <c r="A586" s="4" t="s">
        <v>575</v>
      </c>
      <c r="B586" s="13"/>
      <c r="C586" s="13" t="s">
        <v>1194</v>
      </c>
      <c r="D586" s="101" t="s">
        <v>1973</v>
      </c>
      <c r="E586" s="102"/>
      <c r="F586" s="13" t="s">
        <v>2391</v>
      </c>
      <c r="G586" s="21">
        <v>1</v>
      </c>
      <c r="H586" s="21">
        <v>0</v>
      </c>
      <c r="I586" s="21">
        <f t="shared" si="538"/>
        <v>0</v>
      </c>
      <c r="J586" s="21">
        <f t="shared" si="539"/>
        <v>0</v>
      </c>
      <c r="K586" s="21">
        <f t="shared" si="540"/>
        <v>0</v>
      </c>
      <c r="L586" s="21">
        <v>0</v>
      </c>
      <c r="M586" s="21">
        <f t="shared" si="541"/>
        <v>0</v>
      </c>
      <c r="N586" s="35" t="s">
        <v>2417</v>
      </c>
      <c r="O586" s="39"/>
      <c r="U586" s="41">
        <f t="shared" si="542"/>
        <v>0</v>
      </c>
      <c r="W586" s="41">
        <f t="shared" si="543"/>
        <v>0</v>
      </c>
      <c r="X586" s="41">
        <f t="shared" si="544"/>
        <v>0</v>
      </c>
      <c r="Y586" s="41">
        <f t="shared" si="545"/>
        <v>0</v>
      </c>
      <c r="Z586" s="41">
        <f t="shared" si="546"/>
        <v>0</v>
      </c>
      <c r="AA586" s="41">
        <f t="shared" si="547"/>
        <v>0</v>
      </c>
      <c r="AB586" s="41">
        <f t="shared" si="548"/>
        <v>0</v>
      </c>
      <c r="AC586" s="41">
        <f t="shared" si="549"/>
        <v>0</v>
      </c>
      <c r="AD586" s="31"/>
      <c r="AE586" s="21">
        <f t="shared" si="550"/>
        <v>0</v>
      </c>
      <c r="AF586" s="21">
        <f t="shared" si="551"/>
        <v>0</v>
      </c>
      <c r="AG586" s="21">
        <f t="shared" si="552"/>
        <v>0</v>
      </c>
      <c r="AI586" s="41">
        <v>21</v>
      </c>
      <c r="AJ586" s="41">
        <f>H586*0.853342773338728</f>
        <v>0</v>
      </c>
      <c r="AK586" s="41">
        <f>H586*(1-0.853342773338728)</f>
        <v>0</v>
      </c>
      <c r="AL586" s="42" t="s">
        <v>13</v>
      </c>
      <c r="AQ586" s="41">
        <f t="shared" si="553"/>
        <v>0</v>
      </c>
      <c r="AR586" s="41">
        <f t="shared" si="554"/>
        <v>0</v>
      </c>
      <c r="AS586" s="41">
        <f t="shared" si="555"/>
        <v>0</v>
      </c>
      <c r="AT586" s="44" t="s">
        <v>2444</v>
      </c>
      <c r="AU586" s="44" t="s">
        <v>2482</v>
      </c>
      <c r="AV586" s="31" t="s">
        <v>2486</v>
      </c>
      <c r="AX586" s="41">
        <f t="shared" si="556"/>
        <v>0</v>
      </c>
      <c r="AY586" s="41">
        <f t="shared" si="557"/>
        <v>0</v>
      </c>
      <c r="AZ586" s="41">
        <v>0</v>
      </c>
      <c r="BA586" s="41">
        <f t="shared" si="558"/>
        <v>0</v>
      </c>
      <c r="BC586" s="21">
        <f t="shared" si="559"/>
        <v>0</v>
      </c>
      <c r="BD586" s="21">
        <f t="shared" si="560"/>
        <v>0</v>
      </c>
      <c r="BE586" s="21">
        <f t="shared" si="561"/>
        <v>0</v>
      </c>
      <c r="BF586" s="21" t="s">
        <v>2492</v>
      </c>
      <c r="BG586" s="41">
        <v>7669</v>
      </c>
    </row>
    <row r="587" spans="1:59" x14ac:dyDescent="0.3">
      <c r="A587" s="4" t="s">
        <v>576</v>
      </c>
      <c r="B587" s="13"/>
      <c r="C587" s="13" t="s">
        <v>1195</v>
      </c>
      <c r="D587" s="101" t="s">
        <v>1974</v>
      </c>
      <c r="E587" s="102"/>
      <c r="F587" s="13" t="s">
        <v>2391</v>
      </c>
      <c r="G587" s="21">
        <v>1</v>
      </c>
      <c r="H587" s="21">
        <v>0</v>
      </c>
      <c r="I587" s="21">
        <f t="shared" si="538"/>
        <v>0</v>
      </c>
      <c r="J587" s="21">
        <f t="shared" si="539"/>
        <v>0</v>
      </c>
      <c r="K587" s="21">
        <f t="shared" si="540"/>
        <v>0</v>
      </c>
      <c r="L587" s="21">
        <v>0</v>
      </c>
      <c r="M587" s="21">
        <f t="shared" si="541"/>
        <v>0</v>
      </c>
      <c r="N587" s="35" t="s">
        <v>2417</v>
      </c>
      <c r="O587" s="39"/>
      <c r="U587" s="41">
        <f t="shared" si="542"/>
        <v>0</v>
      </c>
      <c r="W587" s="41">
        <f t="shared" si="543"/>
        <v>0</v>
      </c>
      <c r="X587" s="41">
        <f t="shared" si="544"/>
        <v>0</v>
      </c>
      <c r="Y587" s="41">
        <f t="shared" si="545"/>
        <v>0</v>
      </c>
      <c r="Z587" s="41">
        <f t="shared" si="546"/>
        <v>0</v>
      </c>
      <c r="AA587" s="41">
        <f t="shared" si="547"/>
        <v>0</v>
      </c>
      <c r="AB587" s="41">
        <f t="shared" si="548"/>
        <v>0</v>
      </c>
      <c r="AC587" s="41">
        <f t="shared" si="549"/>
        <v>0</v>
      </c>
      <c r="AD587" s="31"/>
      <c r="AE587" s="21">
        <f t="shared" si="550"/>
        <v>0</v>
      </c>
      <c r="AF587" s="21">
        <f t="shared" si="551"/>
        <v>0</v>
      </c>
      <c r="AG587" s="21">
        <f t="shared" si="552"/>
        <v>0</v>
      </c>
      <c r="AI587" s="41">
        <v>21</v>
      </c>
      <c r="AJ587" s="41">
        <f>H587*0.757627781915498</f>
        <v>0</v>
      </c>
      <c r="AK587" s="41">
        <f>H587*(1-0.757627781915498)</f>
        <v>0</v>
      </c>
      <c r="AL587" s="42" t="s">
        <v>13</v>
      </c>
      <c r="AQ587" s="41">
        <f t="shared" si="553"/>
        <v>0</v>
      </c>
      <c r="AR587" s="41">
        <f t="shared" si="554"/>
        <v>0</v>
      </c>
      <c r="AS587" s="41">
        <f t="shared" si="555"/>
        <v>0</v>
      </c>
      <c r="AT587" s="44" t="s">
        <v>2444</v>
      </c>
      <c r="AU587" s="44" t="s">
        <v>2482</v>
      </c>
      <c r="AV587" s="31" t="s">
        <v>2486</v>
      </c>
      <c r="AX587" s="41">
        <f t="shared" si="556"/>
        <v>0</v>
      </c>
      <c r="AY587" s="41">
        <f t="shared" si="557"/>
        <v>0</v>
      </c>
      <c r="AZ587" s="41">
        <v>0</v>
      </c>
      <c r="BA587" s="41">
        <f t="shared" si="558"/>
        <v>0</v>
      </c>
      <c r="BC587" s="21">
        <f t="shared" si="559"/>
        <v>0</v>
      </c>
      <c r="BD587" s="21">
        <f t="shared" si="560"/>
        <v>0</v>
      </c>
      <c r="BE587" s="21">
        <f t="shared" si="561"/>
        <v>0</v>
      </c>
      <c r="BF587" s="21" t="s">
        <v>2492</v>
      </c>
      <c r="BG587" s="41">
        <v>7669</v>
      </c>
    </row>
    <row r="588" spans="1:59" x14ac:dyDescent="0.3">
      <c r="A588" s="4" t="s">
        <v>577</v>
      </c>
      <c r="B588" s="13"/>
      <c r="C588" s="13" t="s">
        <v>1196</v>
      </c>
      <c r="D588" s="101" t="s">
        <v>1975</v>
      </c>
      <c r="E588" s="102"/>
      <c r="F588" s="13" t="s">
        <v>2391</v>
      </c>
      <c r="G588" s="21">
        <v>1</v>
      </c>
      <c r="H588" s="21">
        <v>0</v>
      </c>
      <c r="I588" s="21">
        <f t="shared" si="538"/>
        <v>0</v>
      </c>
      <c r="J588" s="21">
        <f t="shared" si="539"/>
        <v>0</v>
      </c>
      <c r="K588" s="21">
        <f t="shared" si="540"/>
        <v>0</v>
      </c>
      <c r="L588" s="21">
        <v>0</v>
      </c>
      <c r="M588" s="21">
        <f t="shared" si="541"/>
        <v>0</v>
      </c>
      <c r="N588" s="35" t="s">
        <v>2417</v>
      </c>
      <c r="O588" s="39"/>
      <c r="U588" s="41">
        <f t="shared" si="542"/>
        <v>0</v>
      </c>
      <c r="W588" s="41">
        <f t="shared" si="543"/>
        <v>0</v>
      </c>
      <c r="X588" s="41">
        <f t="shared" si="544"/>
        <v>0</v>
      </c>
      <c r="Y588" s="41">
        <f t="shared" si="545"/>
        <v>0</v>
      </c>
      <c r="Z588" s="41">
        <f t="shared" si="546"/>
        <v>0</v>
      </c>
      <c r="AA588" s="41">
        <f t="shared" si="547"/>
        <v>0</v>
      </c>
      <c r="AB588" s="41">
        <f t="shared" si="548"/>
        <v>0</v>
      </c>
      <c r="AC588" s="41">
        <f t="shared" si="549"/>
        <v>0</v>
      </c>
      <c r="AD588" s="31"/>
      <c r="AE588" s="21">
        <f t="shared" si="550"/>
        <v>0</v>
      </c>
      <c r="AF588" s="21">
        <f t="shared" si="551"/>
        <v>0</v>
      </c>
      <c r="AG588" s="21">
        <f t="shared" si="552"/>
        <v>0</v>
      </c>
      <c r="AI588" s="41">
        <v>21</v>
      </c>
      <c r="AJ588" s="41">
        <f>H588*0.674957262899381</f>
        <v>0</v>
      </c>
      <c r="AK588" s="41">
        <f>H588*(1-0.674957262899381)</f>
        <v>0</v>
      </c>
      <c r="AL588" s="42" t="s">
        <v>13</v>
      </c>
      <c r="AQ588" s="41">
        <f t="shared" si="553"/>
        <v>0</v>
      </c>
      <c r="AR588" s="41">
        <f t="shared" si="554"/>
        <v>0</v>
      </c>
      <c r="AS588" s="41">
        <f t="shared" si="555"/>
        <v>0</v>
      </c>
      <c r="AT588" s="44" t="s">
        <v>2444</v>
      </c>
      <c r="AU588" s="44" t="s">
        <v>2482</v>
      </c>
      <c r="AV588" s="31" t="s">
        <v>2486</v>
      </c>
      <c r="AX588" s="41">
        <f t="shared" si="556"/>
        <v>0</v>
      </c>
      <c r="AY588" s="41">
        <f t="shared" si="557"/>
        <v>0</v>
      </c>
      <c r="AZ588" s="41">
        <v>0</v>
      </c>
      <c r="BA588" s="41">
        <f t="shared" si="558"/>
        <v>0</v>
      </c>
      <c r="BC588" s="21">
        <f t="shared" si="559"/>
        <v>0</v>
      </c>
      <c r="BD588" s="21">
        <f t="shared" si="560"/>
        <v>0</v>
      </c>
      <c r="BE588" s="21">
        <f t="shared" si="561"/>
        <v>0</v>
      </c>
      <c r="BF588" s="21" t="s">
        <v>2492</v>
      </c>
      <c r="BG588" s="41">
        <v>7669</v>
      </c>
    </row>
    <row r="589" spans="1:59" x14ac:dyDescent="0.3">
      <c r="A589" s="4" t="s">
        <v>578</v>
      </c>
      <c r="B589" s="13"/>
      <c r="C589" s="13" t="s">
        <v>1197</v>
      </c>
      <c r="D589" s="101" t="s">
        <v>1976</v>
      </c>
      <c r="E589" s="102"/>
      <c r="F589" s="13" t="s">
        <v>2391</v>
      </c>
      <c r="G589" s="21">
        <v>9</v>
      </c>
      <c r="H589" s="21">
        <v>0</v>
      </c>
      <c r="I589" s="21">
        <f t="shared" si="538"/>
        <v>0</v>
      </c>
      <c r="J589" s="21">
        <f t="shared" si="539"/>
        <v>0</v>
      </c>
      <c r="K589" s="21">
        <f t="shared" si="540"/>
        <v>0</v>
      </c>
      <c r="L589" s="21">
        <v>0</v>
      </c>
      <c r="M589" s="21">
        <f t="shared" si="541"/>
        <v>0</v>
      </c>
      <c r="N589" s="35" t="s">
        <v>2417</v>
      </c>
      <c r="O589" s="39"/>
      <c r="U589" s="41">
        <f t="shared" si="542"/>
        <v>0</v>
      </c>
      <c r="W589" s="41">
        <f t="shared" si="543"/>
        <v>0</v>
      </c>
      <c r="X589" s="41">
        <f t="shared" si="544"/>
        <v>0</v>
      </c>
      <c r="Y589" s="41">
        <f t="shared" si="545"/>
        <v>0</v>
      </c>
      <c r="Z589" s="41">
        <f t="shared" si="546"/>
        <v>0</v>
      </c>
      <c r="AA589" s="41">
        <f t="shared" si="547"/>
        <v>0</v>
      </c>
      <c r="AB589" s="41">
        <f t="shared" si="548"/>
        <v>0</v>
      </c>
      <c r="AC589" s="41">
        <f t="shared" si="549"/>
        <v>0</v>
      </c>
      <c r="AD589" s="31"/>
      <c r="AE589" s="21">
        <f t="shared" si="550"/>
        <v>0</v>
      </c>
      <c r="AF589" s="21">
        <f t="shared" si="551"/>
        <v>0</v>
      </c>
      <c r="AG589" s="21">
        <f t="shared" si="552"/>
        <v>0</v>
      </c>
      <c r="AI589" s="41">
        <v>21</v>
      </c>
      <c r="AJ589" s="41">
        <f>H589*0.706005879882402</f>
        <v>0</v>
      </c>
      <c r="AK589" s="41">
        <f>H589*(1-0.706005879882402)</f>
        <v>0</v>
      </c>
      <c r="AL589" s="42" t="s">
        <v>13</v>
      </c>
      <c r="AQ589" s="41">
        <f t="shared" si="553"/>
        <v>0</v>
      </c>
      <c r="AR589" s="41">
        <f t="shared" si="554"/>
        <v>0</v>
      </c>
      <c r="AS589" s="41">
        <f t="shared" si="555"/>
        <v>0</v>
      </c>
      <c r="AT589" s="44" t="s">
        <v>2444</v>
      </c>
      <c r="AU589" s="44" t="s">
        <v>2482</v>
      </c>
      <c r="AV589" s="31" t="s">
        <v>2486</v>
      </c>
      <c r="AX589" s="41">
        <f t="shared" si="556"/>
        <v>0</v>
      </c>
      <c r="AY589" s="41">
        <f t="shared" si="557"/>
        <v>0</v>
      </c>
      <c r="AZ589" s="41">
        <v>0</v>
      </c>
      <c r="BA589" s="41">
        <f t="shared" si="558"/>
        <v>0</v>
      </c>
      <c r="BC589" s="21">
        <f t="shared" si="559"/>
        <v>0</v>
      </c>
      <c r="BD589" s="21">
        <f t="shared" si="560"/>
        <v>0</v>
      </c>
      <c r="BE589" s="21">
        <f t="shared" si="561"/>
        <v>0</v>
      </c>
      <c r="BF589" s="21" t="s">
        <v>2492</v>
      </c>
      <c r="BG589" s="41">
        <v>7669</v>
      </c>
    </row>
    <row r="590" spans="1:59" x14ac:dyDescent="0.3">
      <c r="A590" s="4" t="s">
        <v>579</v>
      </c>
      <c r="B590" s="13"/>
      <c r="C590" s="13" t="s">
        <v>1198</v>
      </c>
      <c r="D590" s="101" t="s">
        <v>1977</v>
      </c>
      <c r="E590" s="102"/>
      <c r="F590" s="13" t="s">
        <v>2391</v>
      </c>
      <c r="G590" s="21">
        <v>18</v>
      </c>
      <c r="H590" s="21">
        <v>0</v>
      </c>
      <c r="I590" s="21">
        <f t="shared" si="538"/>
        <v>0</v>
      </c>
      <c r="J590" s="21">
        <f t="shared" si="539"/>
        <v>0</v>
      </c>
      <c r="K590" s="21">
        <f t="shared" si="540"/>
        <v>0</v>
      </c>
      <c r="L590" s="21">
        <v>0</v>
      </c>
      <c r="M590" s="21">
        <f t="shared" si="541"/>
        <v>0</v>
      </c>
      <c r="N590" s="35" t="s">
        <v>2417</v>
      </c>
      <c r="O590" s="39"/>
      <c r="U590" s="41">
        <f t="shared" si="542"/>
        <v>0</v>
      </c>
      <c r="W590" s="41">
        <f t="shared" si="543"/>
        <v>0</v>
      </c>
      <c r="X590" s="41">
        <f t="shared" si="544"/>
        <v>0</v>
      </c>
      <c r="Y590" s="41">
        <f t="shared" si="545"/>
        <v>0</v>
      </c>
      <c r="Z590" s="41">
        <f t="shared" si="546"/>
        <v>0</v>
      </c>
      <c r="AA590" s="41">
        <f t="shared" si="547"/>
        <v>0</v>
      </c>
      <c r="AB590" s="41">
        <f t="shared" si="548"/>
        <v>0</v>
      </c>
      <c r="AC590" s="41">
        <f t="shared" si="549"/>
        <v>0</v>
      </c>
      <c r="AD590" s="31"/>
      <c r="AE590" s="21">
        <f t="shared" si="550"/>
        <v>0</v>
      </c>
      <c r="AF590" s="21">
        <f t="shared" si="551"/>
        <v>0</v>
      </c>
      <c r="AG590" s="21">
        <f t="shared" si="552"/>
        <v>0</v>
      </c>
      <c r="AI590" s="41">
        <v>21</v>
      </c>
      <c r="AJ590" s="41">
        <f>H590*0.626076068242291</f>
        <v>0</v>
      </c>
      <c r="AK590" s="41">
        <f>H590*(1-0.626076068242291)</f>
        <v>0</v>
      </c>
      <c r="AL590" s="42" t="s">
        <v>13</v>
      </c>
      <c r="AQ590" s="41">
        <f t="shared" si="553"/>
        <v>0</v>
      </c>
      <c r="AR590" s="41">
        <f t="shared" si="554"/>
        <v>0</v>
      </c>
      <c r="AS590" s="41">
        <f t="shared" si="555"/>
        <v>0</v>
      </c>
      <c r="AT590" s="44" t="s">
        <v>2444</v>
      </c>
      <c r="AU590" s="44" t="s">
        <v>2482</v>
      </c>
      <c r="AV590" s="31" t="s">
        <v>2486</v>
      </c>
      <c r="AX590" s="41">
        <f t="shared" si="556"/>
        <v>0</v>
      </c>
      <c r="AY590" s="41">
        <f t="shared" si="557"/>
        <v>0</v>
      </c>
      <c r="AZ590" s="41">
        <v>0</v>
      </c>
      <c r="BA590" s="41">
        <f t="shared" si="558"/>
        <v>0</v>
      </c>
      <c r="BC590" s="21">
        <f t="shared" si="559"/>
        <v>0</v>
      </c>
      <c r="BD590" s="21">
        <f t="shared" si="560"/>
        <v>0</v>
      </c>
      <c r="BE590" s="21">
        <f t="shared" si="561"/>
        <v>0</v>
      </c>
      <c r="BF590" s="21" t="s">
        <v>2492</v>
      </c>
      <c r="BG590" s="41">
        <v>7669</v>
      </c>
    </row>
    <row r="591" spans="1:59" x14ac:dyDescent="0.3">
      <c r="A591" s="4" t="s">
        <v>580</v>
      </c>
      <c r="B591" s="13"/>
      <c r="C591" s="13" t="s">
        <v>1199</v>
      </c>
      <c r="D591" s="101" t="s">
        <v>1978</v>
      </c>
      <c r="E591" s="102"/>
      <c r="F591" s="13" t="s">
        <v>2391</v>
      </c>
      <c r="G591" s="21">
        <v>1</v>
      </c>
      <c r="H591" s="21">
        <v>0</v>
      </c>
      <c r="I591" s="21">
        <f t="shared" si="538"/>
        <v>0</v>
      </c>
      <c r="J591" s="21">
        <f t="shared" si="539"/>
        <v>0</v>
      </c>
      <c r="K591" s="21">
        <f t="shared" si="540"/>
        <v>0</v>
      </c>
      <c r="L591" s="21">
        <v>0</v>
      </c>
      <c r="M591" s="21">
        <f t="shared" si="541"/>
        <v>0</v>
      </c>
      <c r="N591" s="35" t="s">
        <v>2417</v>
      </c>
      <c r="O591" s="39"/>
      <c r="U591" s="41">
        <f t="shared" si="542"/>
        <v>0</v>
      </c>
      <c r="W591" s="41">
        <f t="shared" si="543"/>
        <v>0</v>
      </c>
      <c r="X591" s="41">
        <f t="shared" si="544"/>
        <v>0</v>
      </c>
      <c r="Y591" s="41">
        <f t="shared" si="545"/>
        <v>0</v>
      </c>
      <c r="Z591" s="41">
        <f t="shared" si="546"/>
        <v>0</v>
      </c>
      <c r="AA591" s="41">
        <f t="shared" si="547"/>
        <v>0</v>
      </c>
      <c r="AB591" s="41">
        <f t="shared" si="548"/>
        <v>0</v>
      </c>
      <c r="AC591" s="41">
        <f t="shared" si="549"/>
        <v>0</v>
      </c>
      <c r="AD591" s="31"/>
      <c r="AE591" s="21">
        <f t="shared" si="550"/>
        <v>0</v>
      </c>
      <c r="AF591" s="21">
        <f t="shared" si="551"/>
        <v>0</v>
      </c>
      <c r="AG591" s="21">
        <f t="shared" si="552"/>
        <v>0</v>
      </c>
      <c r="AI591" s="41">
        <v>21</v>
      </c>
      <c r="AJ591" s="41">
        <f>H591*0.76737129564074</f>
        <v>0</v>
      </c>
      <c r="AK591" s="41">
        <f>H591*(1-0.76737129564074)</f>
        <v>0</v>
      </c>
      <c r="AL591" s="42" t="s">
        <v>13</v>
      </c>
      <c r="AQ591" s="41">
        <f t="shared" si="553"/>
        <v>0</v>
      </c>
      <c r="AR591" s="41">
        <f t="shared" si="554"/>
        <v>0</v>
      </c>
      <c r="AS591" s="41">
        <f t="shared" si="555"/>
        <v>0</v>
      </c>
      <c r="AT591" s="44" t="s">
        <v>2444</v>
      </c>
      <c r="AU591" s="44" t="s">
        <v>2482</v>
      </c>
      <c r="AV591" s="31" t="s">
        <v>2486</v>
      </c>
      <c r="AX591" s="41">
        <f t="shared" si="556"/>
        <v>0</v>
      </c>
      <c r="AY591" s="41">
        <f t="shared" si="557"/>
        <v>0</v>
      </c>
      <c r="AZ591" s="41">
        <v>0</v>
      </c>
      <c r="BA591" s="41">
        <f t="shared" si="558"/>
        <v>0</v>
      </c>
      <c r="BC591" s="21">
        <f t="shared" si="559"/>
        <v>0</v>
      </c>
      <c r="BD591" s="21">
        <f t="shared" si="560"/>
        <v>0</v>
      </c>
      <c r="BE591" s="21">
        <f t="shared" si="561"/>
        <v>0</v>
      </c>
      <c r="BF591" s="21" t="s">
        <v>2492</v>
      </c>
      <c r="BG591" s="41">
        <v>7669</v>
      </c>
    </row>
    <row r="592" spans="1:59" x14ac:dyDescent="0.3">
      <c r="A592" s="4" t="s">
        <v>581</v>
      </c>
      <c r="B592" s="13"/>
      <c r="C592" s="13" t="s">
        <v>1200</v>
      </c>
      <c r="D592" s="101" t="s">
        <v>1979</v>
      </c>
      <c r="E592" s="102"/>
      <c r="F592" s="13" t="s">
        <v>2391</v>
      </c>
      <c r="G592" s="21">
        <v>1</v>
      </c>
      <c r="H592" s="21">
        <v>0</v>
      </c>
      <c r="I592" s="21">
        <f t="shared" si="538"/>
        <v>0</v>
      </c>
      <c r="J592" s="21">
        <f t="shared" si="539"/>
        <v>0</v>
      </c>
      <c r="K592" s="21">
        <f t="shared" si="540"/>
        <v>0</v>
      </c>
      <c r="L592" s="21">
        <v>0</v>
      </c>
      <c r="M592" s="21">
        <f t="shared" si="541"/>
        <v>0</v>
      </c>
      <c r="N592" s="35" t="s">
        <v>2417</v>
      </c>
      <c r="O592" s="39"/>
      <c r="U592" s="41">
        <f t="shared" si="542"/>
        <v>0</v>
      </c>
      <c r="W592" s="41">
        <f t="shared" si="543"/>
        <v>0</v>
      </c>
      <c r="X592" s="41">
        <f t="shared" si="544"/>
        <v>0</v>
      </c>
      <c r="Y592" s="41">
        <f t="shared" si="545"/>
        <v>0</v>
      </c>
      <c r="Z592" s="41">
        <f t="shared" si="546"/>
        <v>0</v>
      </c>
      <c r="AA592" s="41">
        <f t="shared" si="547"/>
        <v>0</v>
      </c>
      <c r="AB592" s="41">
        <f t="shared" si="548"/>
        <v>0</v>
      </c>
      <c r="AC592" s="41">
        <f t="shared" si="549"/>
        <v>0</v>
      </c>
      <c r="AD592" s="31"/>
      <c r="AE592" s="21">
        <f t="shared" si="550"/>
        <v>0</v>
      </c>
      <c r="AF592" s="21">
        <f t="shared" si="551"/>
        <v>0</v>
      </c>
      <c r="AG592" s="21">
        <f t="shared" si="552"/>
        <v>0</v>
      </c>
      <c r="AI592" s="41">
        <v>21</v>
      </c>
      <c r="AJ592" s="41">
        <f>H592*0.880953358346812</f>
        <v>0</v>
      </c>
      <c r="AK592" s="41">
        <f>H592*(1-0.880953358346812)</f>
        <v>0</v>
      </c>
      <c r="AL592" s="42" t="s">
        <v>13</v>
      </c>
      <c r="AQ592" s="41">
        <f t="shared" si="553"/>
        <v>0</v>
      </c>
      <c r="AR592" s="41">
        <f t="shared" si="554"/>
        <v>0</v>
      </c>
      <c r="AS592" s="41">
        <f t="shared" si="555"/>
        <v>0</v>
      </c>
      <c r="AT592" s="44" t="s">
        <v>2444</v>
      </c>
      <c r="AU592" s="44" t="s">
        <v>2482</v>
      </c>
      <c r="AV592" s="31" t="s">
        <v>2486</v>
      </c>
      <c r="AX592" s="41">
        <f t="shared" si="556"/>
        <v>0</v>
      </c>
      <c r="AY592" s="41">
        <f t="shared" si="557"/>
        <v>0</v>
      </c>
      <c r="AZ592" s="41">
        <v>0</v>
      </c>
      <c r="BA592" s="41">
        <f t="shared" si="558"/>
        <v>0</v>
      </c>
      <c r="BC592" s="21">
        <f t="shared" si="559"/>
        <v>0</v>
      </c>
      <c r="BD592" s="21">
        <f t="shared" si="560"/>
        <v>0</v>
      </c>
      <c r="BE592" s="21">
        <f t="shared" si="561"/>
        <v>0</v>
      </c>
      <c r="BF592" s="21" t="s">
        <v>2492</v>
      </c>
      <c r="BG592" s="41">
        <v>7669</v>
      </c>
    </row>
    <row r="593" spans="1:59" x14ac:dyDescent="0.3">
      <c r="A593" s="4" t="s">
        <v>582</v>
      </c>
      <c r="B593" s="13"/>
      <c r="C593" s="13" t="s">
        <v>1201</v>
      </c>
      <c r="D593" s="101" t="s">
        <v>1980</v>
      </c>
      <c r="E593" s="102"/>
      <c r="F593" s="13" t="s">
        <v>2391</v>
      </c>
      <c r="G593" s="21">
        <v>0</v>
      </c>
      <c r="H593" s="21">
        <v>0</v>
      </c>
      <c r="I593" s="21">
        <f t="shared" si="538"/>
        <v>0</v>
      </c>
      <c r="J593" s="21">
        <f t="shared" si="539"/>
        <v>0</v>
      </c>
      <c r="K593" s="21">
        <f t="shared" si="540"/>
        <v>0</v>
      </c>
      <c r="L593" s="21">
        <v>0</v>
      </c>
      <c r="M593" s="21">
        <f t="shared" si="541"/>
        <v>0</v>
      </c>
      <c r="N593" s="35" t="s">
        <v>2417</v>
      </c>
      <c r="O593" s="39"/>
      <c r="U593" s="41">
        <f t="shared" si="542"/>
        <v>0</v>
      </c>
      <c r="W593" s="41">
        <f t="shared" si="543"/>
        <v>0</v>
      </c>
      <c r="X593" s="41">
        <f t="shared" si="544"/>
        <v>0</v>
      </c>
      <c r="Y593" s="41">
        <f t="shared" si="545"/>
        <v>0</v>
      </c>
      <c r="Z593" s="41">
        <f t="shared" si="546"/>
        <v>0</v>
      </c>
      <c r="AA593" s="41">
        <f t="shared" si="547"/>
        <v>0</v>
      </c>
      <c r="AB593" s="41">
        <f t="shared" si="548"/>
        <v>0</v>
      </c>
      <c r="AC593" s="41">
        <f t="shared" si="549"/>
        <v>0</v>
      </c>
      <c r="AD593" s="31"/>
      <c r="AE593" s="21">
        <f t="shared" si="550"/>
        <v>0</v>
      </c>
      <c r="AF593" s="21">
        <f t="shared" si="551"/>
        <v>0</v>
      </c>
      <c r="AG593" s="21">
        <f t="shared" si="552"/>
        <v>0</v>
      </c>
      <c r="AI593" s="41">
        <v>21</v>
      </c>
      <c r="AJ593" s="41">
        <f>H593*0</f>
        <v>0</v>
      </c>
      <c r="AK593" s="41">
        <f>H593*(1-0)</f>
        <v>0</v>
      </c>
      <c r="AL593" s="42" t="s">
        <v>13</v>
      </c>
      <c r="AQ593" s="41">
        <f t="shared" si="553"/>
        <v>0</v>
      </c>
      <c r="AR593" s="41">
        <f t="shared" si="554"/>
        <v>0</v>
      </c>
      <c r="AS593" s="41">
        <f t="shared" si="555"/>
        <v>0</v>
      </c>
      <c r="AT593" s="44" t="s">
        <v>2444</v>
      </c>
      <c r="AU593" s="44" t="s">
        <v>2482</v>
      </c>
      <c r="AV593" s="31" t="s">
        <v>2486</v>
      </c>
      <c r="AX593" s="41">
        <f t="shared" si="556"/>
        <v>0</v>
      </c>
      <c r="AY593" s="41">
        <f t="shared" si="557"/>
        <v>0</v>
      </c>
      <c r="AZ593" s="41">
        <v>0</v>
      </c>
      <c r="BA593" s="41">
        <f t="shared" si="558"/>
        <v>0</v>
      </c>
      <c r="BC593" s="21">
        <f t="shared" si="559"/>
        <v>0</v>
      </c>
      <c r="BD593" s="21">
        <f t="shared" si="560"/>
        <v>0</v>
      </c>
      <c r="BE593" s="21">
        <f t="shared" si="561"/>
        <v>0</v>
      </c>
      <c r="BF593" s="21" t="s">
        <v>2492</v>
      </c>
      <c r="BG593" s="41">
        <v>7669</v>
      </c>
    </row>
    <row r="594" spans="1:59" x14ac:dyDescent="0.3">
      <c r="A594" s="4" t="s">
        <v>583</v>
      </c>
      <c r="B594" s="13"/>
      <c r="C594" s="13" t="s">
        <v>1202</v>
      </c>
      <c r="D594" s="101" t="s">
        <v>1981</v>
      </c>
      <c r="E594" s="102"/>
      <c r="F594" s="13" t="s">
        <v>2391</v>
      </c>
      <c r="G594" s="21">
        <v>1</v>
      </c>
      <c r="H594" s="21">
        <v>0</v>
      </c>
      <c r="I594" s="21">
        <f t="shared" si="538"/>
        <v>0</v>
      </c>
      <c r="J594" s="21">
        <f t="shared" si="539"/>
        <v>0</v>
      </c>
      <c r="K594" s="21">
        <f t="shared" si="540"/>
        <v>0</v>
      </c>
      <c r="L594" s="21">
        <v>0</v>
      </c>
      <c r="M594" s="21">
        <f t="shared" si="541"/>
        <v>0</v>
      </c>
      <c r="N594" s="35" t="s">
        <v>2417</v>
      </c>
      <c r="O594" s="39"/>
      <c r="U594" s="41">
        <f t="shared" si="542"/>
        <v>0</v>
      </c>
      <c r="W594" s="41">
        <f t="shared" si="543"/>
        <v>0</v>
      </c>
      <c r="X594" s="41">
        <f t="shared" si="544"/>
        <v>0</v>
      </c>
      <c r="Y594" s="41">
        <f t="shared" si="545"/>
        <v>0</v>
      </c>
      <c r="Z594" s="41">
        <f t="shared" si="546"/>
        <v>0</v>
      </c>
      <c r="AA594" s="41">
        <f t="shared" si="547"/>
        <v>0</v>
      </c>
      <c r="AB594" s="41">
        <f t="shared" si="548"/>
        <v>0</v>
      </c>
      <c r="AC594" s="41">
        <f t="shared" si="549"/>
        <v>0</v>
      </c>
      <c r="AD594" s="31"/>
      <c r="AE594" s="21">
        <f t="shared" si="550"/>
        <v>0</v>
      </c>
      <c r="AF594" s="21">
        <f t="shared" si="551"/>
        <v>0</v>
      </c>
      <c r="AG594" s="21">
        <f t="shared" si="552"/>
        <v>0</v>
      </c>
      <c r="AI594" s="41">
        <v>21</v>
      </c>
      <c r="AJ594" s="41">
        <f>H594*0.781379570297776</f>
        <v>0</v>
      </c>
      <c r="AK594" s="41">
        <f>H594*(1-0.781379570297776)</f>
        <v>0</v>
      </c>
      <c r="AL594" s="42" t="s">
        <v>13</v>
      </c>
      <c r="AQ594" s="41">
        <f t="shared" si="553"/>
        <v>0</v>
      </c>
      <c r="AR594" s="41">
        <f t="shared" si="554"/>
        <v>0</v>
      </c>
      <c r="AS594" s="41">
        <f t="shared" si="555"/>
        <v>0</v>
      </c>
      <c r="AT594" s="44" t="s">
        <v>2444</v>
      </c>
      <c r="AU594" s="44" t="s">
        <v>2482</v>
      </c>
      <c r="AV594" s="31" t="s">
        <v>2486</v>
      </c>
      <c r="AX594" s="41">
        <f t="shared" si="556"/>
        <v>0</v>
      </c>
      <c r="AY594" s="41">
        <f t="shared" si="557"/>
        <v>0</v>
      </c>
      <c r="AZ594" s="41">
        <v>0</v>
      </c>
      <c r="BA594" s="41">
        <f t="shared" si="558"/>
        <v>0</v>
      </c>
      <c r="BC594" s="21">
        <f t="shared" si="559"/>
        <v>0</v>
      </c>
      <c r="BD594" s="21">
        <f t="shared" si="560"/>
        <v>0</v>
      </c>
      <c r="BE594" s="21">
        <f t="shared" si="561"/>
        <v>0</v>
      </c>
      <c r="BF594" s="21" t="s">
        <v>2492</v>
      </c>
      <c r="BG594" s="41">
        <v>7669</v>
      </c>
    </row>
    <row r="595" spans="1:59" x14ac:dyDescent="0.3">
      <c r="A595" s="4" t="s">
        <v>584</v>
      </c>
      <c r="B595" s="13"/>
      <c r="C595" s="13" t="s">
        <v>1203</v>
      </c>
      <c r="D595" s="101" t="s">
        <v>1982</v>
      </c>
      <c r="E595" s="102"/>
      <c r="F595" s="13" t="s">
        <v>2391</v>
      </c>
      <c r="G595" s="21">
        <v>1</v>
      </c>
      <c r="H595" s="21">
        <v>0</v>
      </c>
      <c r="I595" s="21">
        <f t="shared" si="538"/>
        <v>0</v>
      </c>
      <c r="J595" s="21">
        <f t="shared" si="539"/>
        <v>0</v>
      </c>
      <c r="K595" s="21">
        <f t="shared" si="540"/>
        <v>0</v>
      </c>
      <c r="L595" s="21">
        <v>0</v>
      </c>
      <c r="M595" s="21">
        <f t="shared" si="541"/>
        <v>0</v>
      </c>
      <c r="N595" s="35" t="s">
        <v>2417</v>
      </c>
      <c r="O595" s="39"/>
      <c r="U595" s="41">
        <f t="shared" si="542"/>
        <v>0</v>
      </c>
      <c r="W595" s="41">
        <f t="shared" si="543"/>
        <v>0</v>
      </c>
      <c r="X595" s="41">
        <f t="shared" si="544"/>
        <v>0</v>
      </c>
      <c r="Y595" s="41">
        <f t="shared" si="545"/>
        <v>0</v>
      </c>
      <c r="Z595" s="41">
        <f t="shared" si="546"/>
        <v>0</v>
      </c>
      <c r="AA595" s="41">
        <f t="shared" si="547"/>
        <v>0</v>
      </c>
      <c r="AB595" s="41">
        <f t="shared" si="548"/>
        <v>0</v>
      </c>
      <c r="AC595" s="41">
        <f t="shared" si="549"/>
        <v>0</v>
      </c>
      <c r="AD595" s="31"/>
      <c r="AE595" s="21">
        <f t="shared" si="550"/>
        <v>0</v>
      </c>
      <c r="AF595" s="21">
        <f t="shared" si="551"/>
        <v>0</v>
      </c>
      <c r="AG595" s="21">
        <f t="shared" si="552"/>
        <v>0</v>
      </c>
      <c r="AI595" s="41">
        <v>21</v>
      </c>
      <c r="AJ595" s="41">
        <f>H595*0.780843310775638</f>
        <v>0</v>
      </c>
      <c r="AK595" s="41">
        <f>H595*(1-0.780843310775638)</f>
        <v>0</v>
      </c>
      <c r="AL595" s="42" t="s">
        <v>13</v>
      </c>
      <c r="AQ595" s="41">
        <f t="shared" si="553"/>
        <v>0</v>
      </c>
      <c r="AR595" s="41">
        <f t="shared" si="554"/>
        <v>0</v>
      </c>
      <c r="AS595" s="41">
        <f t="shared" si="555"/>
        <v>0</v>
      </c>
      <c r="AT595" s="44" t="s">
        <v>2444</v>
      </c>
      <c r="AU595" s="44" t="s">
        <v>2482</v>
      </c>
      <c r="AV595" s="31" t="s">
        <v>2486</v>
      </c>
      <c r="AX595" s="41">
        <f t="shared" si="556"/>
        <v>0</v>
      </c>
      <c r="AY595" s="41">
        <f t="shared" si="557"/>
        <v>0</v>
      </c>
      <c r="AZ595" s="41">
        <v>0</v>
      </c>
      <c r="BA595" s="41">
        <f t="shared" si="558"/>
        <v>0</v>
      </c>
      <c r="BC595" s="21">
        <f t="shared" si="559"/>
        <v>0</v>
      </c>
      <c r="BD595" s="21">
        <f t="shared" si="560"/>
        <v>0</v>
      </c>
      <c r="BE595" s="21">
        <f t="shared" si="561"/>
        <v>0</v>
      </c>
      <c r="BF595" s="21" t="s">
        <v>2492</v>
      </c>
      <c r="BG595" s="41">
        <v>7669</v>
      </c>
    </row>
    <row r="596" spans="1:59" x14ac:dyDescent="0.3">
      <c r="A596" s="4" t="s">
        <v>585</v>
      </c>
      <c r="B596" s="13"/>
      <c r="C596" s="13" t="s">
        <v>1204</v>
      </c>
      <c r="D596" s="101" t="s">
        <v>1983</v>
      </c>
      <c r="E596" s="102"/>
      <c r="F596" s="13" t="s">
        <v>2391</v>
      </c>
      <c r="G596" s="21">
        <v>1</v>
      </c>
      <c r="H596" s="21">
        <v>0</v>
      </c>
      <c r="I596" s="21">
        <f t="shared" si="538"/>
        <v>0</v>
      </c>
      <c r="J596" s="21">
        <f t="shared" si="539"/>
        <v>0</v>
      </c>
      <c r="K596" s="21">
        <f t="shared" si="540"/>
        <v>0</v>
      </c>
      <c r="L596" s="21">
        <v>0</v>
      </c>
      <c r="M596" s="21">
        <f t="shared" si="541"/>
        <v>0</v>
      </c>
      <c r="N596" s="35" t="s">
        <v>2417</v>
      </c>
      <c r="O596" s="39"/>
      <c r="U596" s="41">
        <f t="shared" si="542"/>
        <v>0</v>
      </c>
      <c r="W596" s="41">
        <f t="shared" si="543"/>
        <v>0</v>
      </c>
      <c r="X596" s="41">
        <f t="shared" si="544"/>
        <v>0</v>
      </c>
      <c r="Y596" s="41">
        <f t="shared" si="545"/>
        <v>0</v>
      </c>
      <c r="Z596" s="41">
        <f t="shared" si="546"/>
        <v>0</v>
      </c>
      <c r="AA596" s="41">
        <f t="shared" si="547"/>
        <v>0</v>
      </c>
      <c r="AB596" s="41">
        <f t="shared" si="548"/>
        <v>0</v>
      </c>
      <c r="AC596" s="41">
        <f t="shared" si="549"/>
        <v>0</v>
      </c>
      <c r="AD596" s="31"/>
      <c r="AE596" s="21">
        <f t="shared" si="550"/>
        <v>0</v>
      </c>
      <c r="AF596" s="21">
        <f t="shared" si="551"/>
        <v>0</v>
      </c>
      <c r="AG596" s="21">
        <f t="shared" si="552"/>
        <v>0</v>
      </c>
      <c r="AI596" s="41">
        <v>21</v>
      </c>
      <c r="AJ596" s="41">
        <f>H596*0.885648373721002</f>
        <v>0</v>
      </c>
      <c r="AK596" s="41">
        <f>H596*(1-0.885648373721002)</f>
        <v>0</v>
      </c>
      <c r="AL596" s="42" t="s">
        <v>13</v>
      </c>
      <c r="AQ596" s="41">
        <f t="shared" si="553"/>
        <v>0</v>
      </c>
      <c r="AR596" s="41">
        <f t="shared" si="554"/>
        <v>0</v>
      </c>
      <c r="AS596" s="41">
        <f t="shared" si="555"/>
        <v>0</v>
      </c>
      <c r="AT596" s="44" t="s">
        <v>2444</v>
      </c>
      <c r="AU596" s="44" t="s">
        <v>2482</v>
      </c>
      <c r="AV596" s="31" t="s">
        <v>2486</v>
      </c>
      <c r="AX596" s="41">
        <f t="shared" si="556"/>
        <v>0</v>
      </c>
      <c r="AY596" s="41">
        <f t="shared" si="557"/>
        <v>0</v>
      </c>
      <c r="AZ596" s="41">
        <v>0</v>
      </c>
      <c r="BA596" s="41">
        <f t="shared" si="558"/>
        <v>0</v>
      </c>
      <c r="BC596" s="21">
        <f t="shared" si="559"/>
        <v>0</v>
      </c>
      <c r="BD596" s="21">
        <f t="shared" si="560"/>
        <v>0</v>
      </c>
      <c r="BE596" s="21">
        <f t="shared" si="561"/>
        <v>0</v>
      </c>
      <c r="BF596" s="21" t="s">
        <v>2492</v>
      </c>
      <c r="BG596" s="41">
        <v>7669</v>
      </c>
    </row>
    <row r="597" spans="1:59" x14ac:dyDescent="0.3">
      <c r="A597" s="4" t="s">
        <v>586</v>
      </c>
      <c r="B597" s="13"/>
      <c r="C597" s="13" t="s">
        <v>1205</v>
      </c>
      <c r="D597" s="101" t="s">
        <v>1984</v>
      </c>
      <c r="E597" s="102"/>
      <c r="F597" s="13" t="s">
        <v>2391</v>
      </c>
      <c r="G597" s="21">
        <v>1</v>
      </c>
      <c r="H597" s="21">
        <v>0</v>
      </c>
      <c r="I597" s="21">
        <f t="shared" si="538"/>
        <v>0</v>
      </c>
      <c r="J597" s="21">
        <f t="shared" si="539"/>
        <v>0</v>
      </c>
      <c r="K597" s="21">
        <f t="shared" si="540"/>
        <v>0</v>
      </c>
      <c r="L597" s="21">
        <v>0</v>
      </c>
      <c r="M597" s="21">
        <f t="shared" si="541"/>
        <v>0</v>
      </c>
      <c r="N597" s="35" t="s">
        <v>2417</v>
      </c>
      <c r="O597" s="39"/>
      <c r="U597" s="41">
        <f t="shared" si="542"/>
        <v>0</v>
      </c>
      <c r="W597" s="41">
        <f t="shared" si="543"/>
        <v>0</v>
      </c>
      <c r="X597" s="41">
        <f t="shared" si="544"/>
        <v>0</v>
      </c>
      <c r="Y597" s="41">
        <f t="shared" si="545"/>
        <v>0</v>
      </c>
      <c r="Z597" s="41">
        <f t="shared" si="546"/>
        <v>0</v>
      </c>
      <c r="AA597" s="41">
        <f t="shared" si="547"/>
        <v>0</v>
      </c>
      <c r="AB597" s="41">
        <f t="shared" si="548"/>
        <v>0</v>
      </c>
      <c r="AC597" s="41">
        <f t="shared" si="549"/>
        <v>0</v>
      </c>
      <c r="AD597" s="31"/>
      <c r="AE597" s="21">
        <f t="shared" si="550"/>
        <v>0</v>
      </c>
      <c r="AF597" s="21">
        <f t="shared" si="551"/>
        <v>0</v>
      </c>
      <c r="AG597" s="21">
        <f t="shared" si="552"/>
        <v>0</v>
      </c>
      <c r="AI597" s="41">
        <v>21</v>
      </c>
      <c r="AJ597" s="41">
        <f>H597*0.764828123647069</f>
        <v>0</v>
      </c>
      <c r="AK597" s="41">
        <f>H597*(1-0.764828123647069)</f>
        <v>0</v>
      </c>
      <c r="AL597" s="42" t="s">
        <v>13</v>
      </c>
      <c r="AQ597" s="41">
        <f t="shared" si="553"/>
        <v>0</v>
      </c>
      <c r="AR597" s="41">
        <f t="shared" si="554"/>
        <v>0</v>
      </c>
      <c r="AS597" s="41">
        <f t="shared" si="555"/>
        <v>0</v>
      </c>
      <c r="AT597" s="44" t="s">
        <v>2444</v>
      </c>
      <c r="AU597" s="44" t="s">
        <v>2482</v>
      </c>
      <c r="AV597" s="31" t="s">
        <v>2486</v>
      </c>
      <c r="AX597" s="41">
        <f t="shared" si="556"/>
        <v>0</v>
      </c>
      <c r="AY597" s="41">
        <f t="shared" si="557"/>
        <v>0</v>
      </c>
      <c r="AZ597" s="41">
        <v>0</v>
      </c>
      <c r="BA597" s="41">
        <f t="shared" si="558"/>
        <v>0</v>
      </c>
      <c r="BC597" s="21">
        <f t="shared" si="559"/>
        <v>0</v>
      </c>
      <c r="BD597" s="21">
        <f t="shared" si="560"/>
        <v>0</v>
      </c>
      <c r="BE597" s="21">
        <f t="shared" si="561"/>
        <v>0</v>
      </c>
      <c r="BF597" s="21" t="s">
        <v>2492</v>
      </c>
      <c r="BG597" s="41">
        <v>7669</v>
      </c>
    </row>
    <row r="598" spans="1:59" x14ac:dyDescent="0.3">
      <c r="A598" s="4" t="s">
        <v>587</v>
      </c>
      <c r="B598" s="13"/>
      <c r="C598" s="13" t="s">
        <v>1206</v>
      </c>
      <c r="D598" s="101" t="s">
        <v>1985</v>
      </c>
      <c r="E598" s="102"/>
      <c r="F598" s="13" t="s">
        <v>2391</v>
      </c>
      <c r="G598" s="21">
        <v>2</v>
      </c>
      <c r="H598" s="21">
        <v>0</v>
      </c>
      <c r="I598" s="21">
        <f t="shared" si="538"/>
        <v>0</v>
      </c>
      <c r="J598" s="21">
        <f t="shared" si="539"/>
        <v>0</v>
      </c>
      <c r="K598" s="21">
        <f t="shared" si="540"/>
        <v>0</v>
      </c>
      <c r="L598" s="21">
        <v>0</v>
      </c>
      <c r="M598" s="21">
        <f t="shared" si="541"/>
        <v>0</v>
      </c>
      <c r="N598" s="35" t="s">
        <v>2417</v>
      </c>
      <c r="O598" s="39"/>
      <c r="U598" s="41">
        <f t="shared" si="542"/>
        <v>0</v>
      </c>
      <c r="W598" s="41">
        <f t="shared" si="543"/>
        <v>0</v>
      </c>
      <c r="X598" s="41">
        <f t="shared" si="544"/>
        <v>0</v>
      </c>
      <c r="Y598" s="41">
        <f t="shared" si="545"/>
        <v>0</v>
      </c>
      <c r="Z598" s="41">
        <f t="shared" si="546"/>
        <v>0</v>
      </c>
      <c r="AA598" s="41">
        <f t="shared" si="547"/>
        <v>0</v>
      </c>
      <c r="AB598" s="41">
        <f t="shared" si="548"/>
        <v>0</v>
      </c>
      <c r="AC598" s="41">
        <f t="shared" si="549"/>
        <v>0</v>
      </c>
      <c r="AD598" s="31"/>
      <c r="AE598" s="21">
        <f t="shared" si="550"/>
        <v>0</v>
      </c>
      <c r="AF598" s="21">
        <f t="shared" si="551"/>
        <v>0</v>
      </c>
      <c r="AG598" s="21">
        <f t="shared" si="552"/>
        <v>0</v>
      </c>
      <c r="AI598" s="41">
        <v>21</v>
      </c>
      <c r="AJ598" s="41">
        <f>H598*0.844823764132121</f>
        <v>0</v>
      </c>
      <c r="AK598" s="41">
        <f>H598*(1-0.844823764132121)</f>
        <v>0</v>
      </c>
      <c r="AL598" s="42" t="s">
        <v>13</v>
      </c>
      <c r="AQ598" s="41">
        <f t="shared" si="553"/>
        <v>0</v>
      </c>
      <c r="AR598" s="41">
        <f t="shared" si="554"/>
        <v>0</v>
      </c>
      <c r="AS598" s="41">
        <f t="shared" si="555"/>
        <v>0</v>
      </c>
      <c r="AT598" s="44" t="s">
        <v>2444</v>
      </c>
      <c r="AU598" s="44" t="s">
        <v>2482</v>
      </c>
      <c r="AV598" s="31" t="s">
        <v>2486</v>
      </c>
      <c r="AX598" s="41">
        <f t="shared" si="556"/>
        <v>0</v>
      </c>
      <c r="AY598" s="41">
        <f t="shared" si="557"/>
        <v>0</v>
      </c>
      <c r="AZ598" s="41">
        <v>0</v>
      </c>
      <c r="BA598" s="41">
        <f t="shared" si="558"/>
        <v>0</v>
      </c>
      <c r="BC598" s="21">
        <f t="shared" si="559"/>
        <v>0</v>
      </c>
      <c r="BD598" s="21">
        <f t="shared" si="560"/>
        <v>0</v>
      </c>
      <c r="BE598" s="21">
        <f t="shared" si="561"/>
        <v>0</v>
      </c>
      <c r="BF598" s="21" t="s">
        <v>2492</v>
      </c>
      <c r="BG598" s="41">
        <v>7669</v>
      </c>
    </row>
    <row r="599" spans="1:59" x14ac:dyDescent="0.3">
      <c r="A599" s="4" t="s">
        <v>588</v>
      </c>
      <c r="B599" s="13"/>
      <c r="C599" s="13" t="s">
        <v>1207</v>
      </c>
      <c r="D599" s="101" t="s">
        <v>1986</v>
      </c>
      <c r="E599" s="102"/>
      <c r="F599" s="13" t="s">
        <v>2391</v>
      </c>
      <c r="G599" s="21">
        <v>1</v>
      </c>
      <c r="H599" s="21">
        <v>0</v>
      </c>
      <c r="I599" s="21">
        <f t="shared" si="538"/>
        <v>0</v>
      </c>
      <c r="J599" s="21">
        <f t="shared" si="539"/>
        <v>0</v>
      </c>
      <c r="K599" s="21">
        <f t="shared" si="540"/>
        <v>0</v>
      </c>
      <c r="L599" s="21">
        <v>0</v>
      </c>
      <c r="M599" s="21">
        <f t="shared" si="541"/>
        <v>0</v>
      </c>
      <c r="N599" s="35" t="s">
        <v>2417</v>
      </c>
      <c r="O599" s="39"/>
      <c r="U599" s="41">
        <f t="shared" si="542"/>
        <v>0</v>
      </c>
      <c r="W599" s="41">
        <f t="shared" si="543"/>
        <v>0</v>
      </c>
      <c r="X599" s="41">
        <f t="shared" si="544"/>
        <v>0</v>
      </c>
      <c r="Y599" s="41">
        <f t="shared" si="545"/>
        <v>0</v>
      </c>
      <c r="Z599" s="41">
        <f t="shared" si="546"/>
        <v>0</v>
      </c>
      <c r="AA599" s="41">
        <f t="shared" si="547"/>
        <v>0</v>
      </c>
      <c r="AB599" s="41">
        <f t="shared" si="548"/>
        <v>0</v>
      </c>
      <c r="AC599" s="41">
        <f t="shared" si="549"/>
        <v>0</v>
      </c>
      <c r="AD599" s="31"/>
      <c r="AE599" s="21">
        <f t="shared" si="550"/>
        <v>0</v>
      </c>
      <c r="AF599" s="21">
        <f t="shared" si="551"/>
        <v>0</v>
      </c>
      <c r="AG599" s="21">
        <f t="shared" si="552"/>
        <v>0</v>
      </c>
      <c r="AI599" s="41">
        <v>21</v>
      </c>
      <c r="AJ599" s="41">
        <f>H599*0.853544759252897</f>
        <v>0</v>
      </c>
      <c r="AK599" s="41">
        <f>H599*(1-0.853544759252897)</f>
        <v>0</v>
      </c>
      <c r="AL599" s="42" t="s">
        <v>13</v>
      </c>
      <c r="AQ599" s="41">
        <f t="shared" si="553"/>
        <v>0</v>
      </c>
      <c r="AR599" s="41">
        <f t="shared" si="554"/>
        <v>0</v>
      </c>
      <c r="AS599" s="41">
        <f t="shared" si="555"/>
        <v>0</v>
      </c>
      <c r="AT599" s="44" t="s">
        <v>2444</v>
      </c>
      <c r="AU599" s="44" t="s">
        <v>2482</v>
      </c>
      <c r="AV599" s="31" t="s">
        <v>2486</v>
      </c>
      <c r="AX599" s="41">
        <f t="shared" si="556"/>
        <v>0</v>
      </c>
      <c r="AY599" s="41">
        <f t="shared" si="557"/>
        <v>0</v>
      </c>
      <c r="AZ599" s="41">
        <v>0</v>
      </c>
      <c r="BA599" s="41">
        <f t="shared" si="558"/>
        <v>0</v>
      </c>
      <c r="BC599" s="21">
        <f t="shared" si="559"/>
        <v>0</v>
      </c>
      <c r="BD599" s="21">
        <f t="shared" si="560"/>
        <v>0</v>
      </c>
      <c r="BE599" s="21">
        <f t="shared" si="561"/>
        <v>0</v>
      </c>
      <c r="BF599" s="21" t="s">
        <v>2492</v>
      </c>
      <c r="BG599" s="41">
        <v>7669</v>
      </c>
    </row>
    <row r="600" spans="1:59" x14ac:dyDescent="0.3">
      <c r="A600" s="4" t="s">
        <v>589</v>
      </c>
      <c r="B600" s="13"/>
      <c r="C600" s="13" t="s">
        <v>1208</v>
      </c>
      <c r="D600" s="101" t="s">
        <v>1987</v>
      </c>
      <c r="E600" s="102"/>
      <c r="F600" s="13" t="s">
        <v>2391</v>
      </c>
      <c r="G600" s="21">
        <v>1</v>
      </c>
      <c r="H600" s="21">
        <v>0</v>
      </c>
      <c r="I600" s="21">
        <f t="shared" si="538"/>
        <v>0</v>
      </c>
      <c r="J600" s="21">
        <f t="shared" si="539"/>
        <v>0</v>
      </c>
      <c r="K600" s="21">
        <f t="shared" si="540"/>
        <v>0</v>
      </c>
      <c r="L600" s="21">
        <v>0</v>
      </c>
      <c r="M600" s="21">
        <f t="shared" si="541"/>
        <v>0</v>
      </c>
      <c r="N600" s="35" t="s">
        <v>2417</v>
      </c>
      <c r="O600" s="39"/>
      <c r="U600" s="41">
        <f t="shared" si="542"/>
        <v>0</v>
      </c>
      <c r="W600" s="41">
        <f t="shared" si="543"/>
        <v>0</v>
      </c>
      <c r="X600" s="41">
        <f t="shared" si="544"/>
        <v>0</v>
      </c>
      <c r="Y600" s="41">
        <f t="shared" si="545"/>
        <v>0</v>
      </c>
      <c r="Z600" s="41">
        <f t="shared" si="546"/>
        <v>0</v>
      </c>
      <c r="AA600" s="41">
        <f t="shared" si="547"/>
        <v>0</v>
      </c>
      <c r="AB600" s="41">
        <f t="shared" si="548"/>
        <v>0</v>
      </c>
      <c r="AC600" s="41">
        <f t="shared" si="549"/>
        <v>0</v>
      </c>
      <c r="AD600" s="31"/>
      <c r="AE600" s="21">
        <f t="shared" si="550"/>
        <v>0</v>
      </c>
      <c r="AF600" s="21">
        <f t="shared" si="551"/>
        <v>0</v>
      </c>
      <c r="AG600" s="21">
        <f t="shared" si="552"/>
        <v>0</v>
      </c>
      <c r="AI600" s="41">
        <v>21</v>
      </c>
      <c r="AJ600" s="41">
        <f>H600*0.79834545796393</f>
        <v>0</v>
      </c>
      <c r="AK600" s="41">
        <f>H600*(1-0.79834545796393)</f>
        <v>0</v>
      </c>
      <c r="AL600" s="42" t="s">
        <v>13</v>
      </c>
      <c r="AQ600" s="41">
        <f t="shared" si="553"/>
        <v>0</v>
      </c>
      <c r="AR600" s="41">
        <f t="shared" si="554"/>
        <v>0</v>
      </c>
      <c r="AS600" s="41">
        <f t="shared" si="555"/>
        <v>0</v>
      </c>
      <c r="AT600" s="44" t="s">
        <v>2444</v>
      </c>
      <c r="AU600" s="44" t="s">
        <v>2482</v>
      </c>
      <c r="AV600" s="31" t="s">
        <v>2486</v>
      </c>
      <c r="AX600" s="41">
        <f t="shared" si="556"/>
        <v>0</v>
      </c>
      <c r="AY600" s="41">
        <f t="shared" si="557"/>
        <v>0</v>
      </c>
      <c r="AZ600" s="41">
        <v>0</v>
      </c>
      <c r="BA600" s="41">
        <f t="shared" si="558"/>
        <v>0</v>
      </c>
      <c r="BC600" s="21">
        <f t="shared" si="559"/>
        <v>0</v>
      </c>
      <c r="BD600" s="21">
        <f t="shared" si="560"/>
        <v>0</v>
      </c>
      <c r="BE600" s="21">
        <f t="shared" si="561"/>
        <v>0</v>
      </c>
      <c r="BF600" s="21" t="s">
        <v>2492</v>
      </c>
      <c r="BG600" s="41">
        <v>7669</v>
      </c>
    </row>
    <row r="601" spans="1:59" x14ac:dyDescent="0.3">
      <c r="A601" s="4" t="s">
        <v>590</v>
      </c>
      <c r="B601" s="13"/>
      <c r="C601" s="13" t="s">
        <v>1209</v>
      </c>
      <c r="D601" s="101" t="s">
        <v>1988</v>
      </c>
      <c r="E601" s="102"/>
      <c r="F601" s="13" t="s">
        <v>2391</v>
      </c>
      <c r="G601" s="21">
        <v>1</v>
      </c>
      <c r="H601" s="21">
        <v>0</v>
      </c>
      <c r="I601" s="21">
        <f t="shared" si="538"/>
        <v>0</v>
      </c>
      <c r="J601" s="21">
        <f t="shared" si="539"/>
        <v>0</v>
      </c>
      <c r="K601" s="21">
        <f t="shared" si="540"/>
        <v>0</v>
      </c>
      <c r="L601" s="21">
        <v>0</v>
      </c>
      <c r="M601" s="21">
        <f t="shared" si="541"/>
        <v>0</v>
      </c>
      <c r="N601" s="35" t="s">
        <v>2417</v>
      </c>
      <c r="O601" s="39"/>
      <c r="U601" s="41">
        <f t="shared" si="542"/>
        <v>0</v>
      </c>
      <c r="W601" s="41">
        <f t="shared" si="543"/>
        <v>0</v>
      </c>
      <c r="X601" s="41">
        <f t="shared" si="544"/>
        <v>0</v>
      </c>
      <c r="Y601" s="41">
        <f t="shared" si="545"/>
        <v>0</v>
      </c>
      <c r="Z601" s="41">
        <f t="shared" si="546"/>
        <v>0</v>
      </c>
      <c r="AA601" s="41">
        <f t="shared" si="547"/>
        <v>0</v>
      </c>
      <c r="AB601" s="41">
        <f t="shared" si="548"/>
        <v>0</v>
      </c>
      <c r="AC601" s="41">
        <f t="shared" si="549"/>
        <v>0</v>
      </c>
      <c r="AD601" s="31"/>
      <c r="AE601" s="21">
        <f t="shared" si="550"/>
        <v>0</v>
      </c>
      <c r="AF601" s="21">
        <f t="shared" si="551"/>
        <v>0</v>
      </c>
      <c r="AG601" s="21">
        <f t="shared" si="552"/>
        <v>0</v>
      </c>
      <c r="AI601" s="41">
        <v>21</v>
      </c>
      <c r="AJ601" s="41">
        <f>H601*0.756356061252086</f>
        <v>0</v>
      </c>
      <c r="AK601" s="41">
        <f>H601*(1-0.756356061252086)</f>
        <v>0</v>
      </c>
      <c r="AL601" s="42" t="s">
        <v>13</v>
      </c>
      <c r="AQ601" s="41">
        <f t="shared" si="553"/>
        <v>0</v>
      </c>
      <c r="AR601" s="41">
        <f t="shared" si="554"/>
        <v>0</v>
      </c>
      <c r="AS601" s="41">
        <f t="shared" si="555"/>
        <v>0</v>
      </c>
      <c r="AT601" s="44" t="s">
        <v>2444</v>
      </c>
      <c r="AU601" s="44" t="s">
        <v>2482</v>
      </c>
      <c r="AV601" s="31" t="s">
        <v>2486</v>
      </c>
      <c r="AX601" s="41">
        <f t="shared" si="556"/>
        <v>0</v>
      </c>
      <c r="AY601" s="41">
        <f t="shared" si="557"/>
        <v>0</v>
      </c>
      <c r="AZ601" s="41">
        <v>0</v>
      </c>
      <c r="BA601" s="41">
        <f t="shared" si="558"/>
        <v>0</v>
      </c>
      <c r="BC601" s="21">
        <f t="shared" si="559"/>
        <v>0</v>
      </c>
      <c r="BD601" s="21">
        <f t="shared" si="560"/>
        <v>0</v>
      </c>
      <c r="BE601" s="21">
        <f t="shared" si="561"/>
        <v>0</v>
      </c>
      <c r="BF601" s="21" t="s">
        <v>2492</v>
      </c>
      <c r="BG601" s="41">
        <v>7669</v>
      </c>
    </row>
    <row r="602" spans="1:59" x14ac:dyDescent="0.3">
      <c r="A602" s="4" t="s">
        <v>591</v>
      </c>
      <c r="B602" s="13"/>
      <c r="C602" s="13" t="s">
        <v>1209</v>
      </c>
      <c r="D602" s="101" t="s">
        <v>1989</v>
      </c>
      <c r="E602" s="102"/>
      <c r="F602" s="13" t="s">
        <v>2391</v>
      </c>
      <c r="G602" s="21">
        <v>1</v>
      </c>
      <c r="H602" s="21">
        <v>0</v>
      </c>
      <c r="I602" s="21">
        <f t="shared" si="538"/>
        <v>0</v>
      </c>
      <c r="J602" s="21">
        <f t="shared" si="539"/>
        <v>0</v>
      </c>
      <c r="K602" s="21">
        <f t="shared" si="540"/>
        <v>0</v>
      </c>
      <c r="L602" s="21">
        <v>0</v>
      </c>
      <c r="M602" s="21">
        <f t="shared" si="541"/>
        <v>0</v>
      </c>
      <c r="N602" s="35" t="s">
        <v>2417</v>
      </c>
      <c r="O602" s="39"/>
      <c r="U602" s="41">
        <f t="shared" si="542"/>
        <v>0</v>
      </c>
      <c r="W602" s="41">
        <f t="shared" si="543"/>
        <v>0</v>
      </c>
      <c r="X602" s="41">
        <f t="shared" si="544"/>
        <v>0</v>
      </c>
      <c r="Y602" s="41">
        <f t="shared" si="545"/>
        <v>0</v>
      </c>
      <c r="Z602" s="41">
        <f t="shared" si="546"/>
        <v>0</v>
      </c>
      <c r="AA602" s="41">
        <f t="shared" si="547"/>
        <v>0</v>
      </c>
      <c r="AB602" s="41">
        <f t="shared" si="548"/>
        <v>0</v>
      </c>
      <c r="AC602" s="41">
        <f t="shared" si="549"/>
        <v>0</v>
      </c>
      <c r="AD602" s="31"/>
      <c r="AE602" s="21">
        <f t="shared" si="550"/>
        <v>0</v>
      </c>
      <c r="AF602" s="21">
        <f t="shared" si="551"/>
        <v>0</v>
      </c>
      <c r="AG602" s="21">
        <f t="shared" si="552"/>
        <v>0</v>
      </c>
      <c r="AI602" s="41">
        <v>21</v>
      </c>
      <c r="AJ602" s="41">
        <f>H602*0.812279424121898</f>
        <v>0</v>
      </c>
      <c r="AK602" s="41">
        <f>H602*(1-0.812279424121898)</f>
        <v>0</v>
      </c>
      <c r="AL602" s="42" t="s">
        <v>13</v>
      </c>
      <c r="AQ602" s="41">
        <f t="shared" si="553"/>
        <v>0</v>
      </c>
      <c r="AR602" s="41">
        <f t="shared" si="554"/>
        <v>0</v>
      </c>
      <c r="AS602" s="41">
        <f t="shared" si="555"/>
        <v>0</v>
      </c>
      <c r="AT602" s="44" t="s">
        <v>2444</v>
      </c>
      <c r="AU602" s="44" t="s">
        <v>2482</v>
      </c>
      <c r="AV602" s="31" t="s">
        <v>2486</v>
      </c>
      <c r="AX602" s="41">
        <f t="shared" si="556"/>
        <v>0</v>
      </c>
      <c r="AY602" s="41">
        <f t="shared" si="557"/>
        <v>0</v>
      </c>
      <c r="AZ602" s="41">
        <v>0</v>
      </c>
      <c r="BA602" s="41">
        <f t="shared" si="558"/>
        <v>0</v>
      </c>
      <c r="BC602" s="21">
        <f t="shared" si="559"/>
        <v>0</v>
      </c>
      <c r="BD602" s="21">
        <f t="shared" si="560"/>
        <v>0</v>
      </c>
      <c r="BE602" s="21">
        <f t="shared" si="561"/>
        <v>0</v>
      </c>
      <c r="BF602" s="21" t="s">
        <v>2492</v>
      </c>
      <c r="BG602" s="41">
        <v>7669</v>
      </c>
    </row>
    <row r="603" spans="1:59" x14ac:dyDescent="0.3">
      <c r="A603" s="4" t="s">
        <v>592</v>
      </c>
      <c r="B603" s="13"/>
      <c r="C603" s="13" t="s">
        <v>1210</v>
      </c>
      <c r="D603" s="101" t="s">
        <v>1990</v>
      </c>
      <c r="E603" s="102"/>
      <c r="F603" s="13" t="s">
        <v>2391</v>
      </c>
      <c r="G603" s="21">
        <v>1</v>
      </c>
      <c r="H603" s="21">
        <v>0</v>
      </c>
      <c r="I603" s="21">
        <f t="shared" si="538"/>
        <v>0</v>
      </c>
      <c r="J603" s="21">
        <f t="shared" si="539"/>
        <v>0</v>
      </c>
      <c r="K603" s="21">
        <f t="shared" si="540"/>
        <v>0</v>
      </c>
      <c r="L603" s="21">
        <v>0</v>
      </c>
      <c r="M603" s="21">
        <f t="shared" si="541"/>
        <v>0</v>
      </c>
      <c r="N603" s="35" t="s">
        <v>2417</v>
      </c>
      <c r="O603" s="39"/>
      <c r="U603" s="41">
        <f t="shared" si="542"/>
        <v>0</v>
      </c>
      <c r="W603" s="41">
        <f t="shared" si="543"/>
        <v>0</v>
      </c>
      <c r="X603" s="41">
        <f t="shared" si="544"/>
        <v>0</v>
      </c>
      <c r="Y603" s="41">
        <f t="shared" si="545"/>
        <v>0</v>
      </c>
      <c r="Z603" s="41">
        <f t="shared" si="546"/>
        <v>0</v>
      </c>
      <c r="AA603" s="41">
        <f t="shared" si="547"/>
        <v>0</v>
      </c>
      <c r="AB603" s="41">
        <f t="shared" si="548"/>
        <v>0</v>
      </c>
      <c r="AC603" s="41">
        <f t="shared" si="549"/>
        <v>0</v>
      </c>
      <c r="AD603" s="31"/>
      <c r="AE603" s="21">
        <f t="shared" si="550"/>
        <v>0</v>
      </c>
      <c r="AF603" s="21">
        <f t="shared" si="551"/>
        <v>0</v>
      </c>
      <c r="AG603" s="21">
        <f t="shared" si="552"/>
        <v>0</v>
      </c>
      <c r="AI603" s="41">
        <v>21</v>
      </c>
      <c r="AJ603" s="41">
        <f>H603*0.719204906524791</f>
        <v>0</v>
      </c>
      <c r="AK603" s="41">
        <f>H603*(1-0.719204906524791)</f>
        <v>0</v>
      </c>
      <c r="AL603" s="42" t="s">
        <v>13</v>
      </c>
      <c r="AQ603" s="41">
        <f t="shared" si="553"/>
        <v>0</v>
      </c>
      <c r="AR603" s="41">
        <f t="shared" si="554"/>
        <v>0</v>
      </c>
      <c r="AS603" s="41">
        <f t="shared" si="555"/>
        <v>0</v>
      </c>
      <c r="AT603" s="44" t="s">
        <v>2444</v>
      </c>
      <c r="AU603" s="44" t="s">
        <v>2482</v>
      </c>
      <c r="AV603" s="31" t="s">
        <v>2486</v>
      </c>
      <c r="AX603" s="41">
        <f t="shared" si="556"/>
        <v>0</v>
      </c>
      <c r="AY603" s="41">
        <f t="shared" si="557"/>
        <v>0</v>
      </c>
      <c r="AZ603" s="41">
        <v>0</v>
      </c>
      <c r="BA603" s="41">
        <f t="shared" si="558"/>
        <v>0</v>
      </c>
      <c r="BC603" s="21">
        <f t="shared" si="559"/>
        <v>0</v>
      </c>
      <c r="BD603" s="21">
        <f t="shared" si="560"/>
        <v>0</v>
      </c>
      <c r="BE603" s="21">
        <f t="shared" si="561"/>
        <v>0</v>
      </c>
      <c r="BF603" s="21" t="s">
        <v>2492</v>
      </c>
      <c r="BG603" s="41">
        <v>7669</v>
      </c>
    </row>
    <row r="604" spans="1:59" x14ac:dyDescent="0.3">
      <c r="A604" s="4" t="s">
        <v>593</v>
      </c>
      <c r="B604" s="13"/>
      <c r="C604" s="13" t="s">
        <v>1211</v>
      </c>
      <c r="D604" s="101" t="s">
        <v>1991</v>
      </c>
      <c r="E604" s="102"/>
      <c r="F604" s="13" t="s">
        <v>2391</v>
      </c>
      <c r="G604" s="21">
        <v>1</v>
      </c>
      <c r="H604" s="21">
        <v>0</v>
      </c>
      <c r="I604" s="21">
        <f t="shared" ref="I604:I635" si="562">G604*AJ604</f>
        <v>0</v>
      </c>
      <c r="J604" s="21">
        <f t="shared" ref="J604:J635" si="563">G604*AK604</f>
        <v>0</v>
      </c>
      <c r="K604" s="21">
        <f t="shared" ref="K604:K635" si="564">G604*H604</f>
        <v>0</v>
      </c>
      <c r="L604" s="21">
        <v>0</v>
      </c>
      <c r="M604" s="21">
        <f t="shared" ref="M604:M635" si="565">G604*L604</f>
        <v>0</v>
      </c>
      <c r="N604" s="35" t="s">
        <v>2417</v>
      </c>
      <c r="O604" s="39"/>
      <c r="U604" s="41">
        <f t="shared" ref="U604:U635" si="566">IF(AL604="5",BE604,0)</f>
        <v>0</v>
      </c>
      <c r="W604" s="41">
        <f t="shared" ref="W604:W635" si="567">IF(AL604="1",BC604,0)</f>
        <v>0</v>
      </c>
      <c r="X604" s="41">
        <f t="shared" ref="X604:X635" si="568">IF(AL604="1",BD604,0)</f>
        <v>0</v>
      </c>
      <c r="Y604" s="41">
        <f t="shared" ref="Y604:Y635" si="569">IF(AL604="7",BC604,0)</f>
        <v>0</v>
      </c>
      <c r="Z604" s="41">
        <f t="shared" ref="Z604:Z635" si="570">IF(AL604="7",BD604,0)</f>
        <v>0</v>
      </c>
      <c r="AA604" s="41">
        <f t="shared" ref="AA604:AA635" si="571">IF(AL604="2",BC604,0)</f>
        <v>0</v>
      </c>
      <c r="AB604" s="41">
        <f t="shared" ref="AB604:AB635" si="572">IF(AL604="2",BD604,0)</f>
        <v>0</v>
      </c>
      <c r="AC604" s="41">
        <f t="shared" ref="AC604:AC635" si="573">IF(AL604="0",BE604,0)</f>
        <v>0</v>
      </c>
      <c r="AD604" s="31"/>
      <c r="AE604" s="21">
        <f t="shared" ref="AE604:AE635" si="574">IF(AI604=0,K604,0)</f>
        <v>0</v>
      </c>
      <c r="AF604" s="21">
        <f t="shared" ref="AF604:AF635" si="575">IF(AI604=15,K604,0)</f>
        <v>0</v>
      </c>
      <c r="AG604" s="21">
        <f t="shared" ref="AG604:AG635" si="576">IF(AI604=21,K604,0)</f>
        <v>0</v>
      </c>
      <c r="AI604" s="41">
        <v>21</v>
      </c>
      <c r="AJ604" s="41">
        <f>H604*0.719204906524791</f>
        <v>0</v>
      </c>
      <c r="AK604" s="41">
        <f>H604*(1-0.719204906524791)</f>
        <v>0</v>
      </c>
      <c r="AL604" s="42" t="s">
        <v>13</v>
      </c>
      <c r="AQ604" s="41">
        <f t="shared" ref="AQ604:AQ635" si="577">AR604+AS604</f>
        <v>0</v>
      </c>
      <c r="AR604" s="41">
        <f t="shared" ref="AR604:AR635" si="578">G604*AJ604</f>
        <v>0</v>
      </c>
      <c r="AS604" s="41">
        <f t="shared" ref="AS604:AS635" si="579">G604*AK604</f>
        <v>0</v>
      </c>
      <c r="AT604" s="44" t="s">
        <v>2444</v>
      </c>
      <c r="AU604" s="44" t="s">
        <v>2482</v>
      </c>
      <c r="AV604" s="31" t="s">
        <v>2486</v>
      </c>
      <c r="AX604" s="41">
        <f t="shared" ref="AX604:AX635" si="580">AR604+AS604</f>
        <v>0</v>
      </c>
      <c r="AY604" s="41">
        <f t="shared" ref="AY604:AY635" si="581">H604/(100-AZ604)*100</f>
        <v>0</v>
      </c>
      <c r="AZ604" s="41">
        <v>0</v>
      </c>
      <c r="BA604" s="41">
        <f t="shared" ref="BA604:BA635" si="582">M604</f>
        <v>0</v>
      </c>
      <c r="BC604" s="21">
        <f t="shared" ref="BC604:BC635" si="583">G604*AJ604</f>
        <v>0</v>
      </c>
      <c r="BD604" s="21">
        <f t="shared" ref="BD604:BD635" si="584">G604*AK604</f>
        <v>0</v>
      </c>
      <c r="BE604" s="21">
        <f t="shared" ref="BE604:BE635" si="585">G604*H604</f>
        <v>0</v>
      </c>
      <c r="BF604" s="21" t="s">
        <v>2492</v>
      </c>
      <c r="BG604" s="41">
        <v>7669</v>
      </c>
    </row>
    <row r="605" spans="1:59" x14ac:dyDescent="0.3">
      <c r="A605" s="4" t="s">
        <v>594</v>
      </c>
      <c r="B605" s="13"/>
      <c r="C605" s="13" t="s">
        <v>1212</v>
      </c>
      <c r="D605" s="101" t="s">
        <v>1992</v>
      </c>
      <c r="E605" s="102"/>
      <c r="F605" s="13" t="s">
        <v>2391</v>
      </c>
      <c r="G605" s="21">
        <v>1</v>
      </c>
      <c r="H605" s="21">
        <v>0</v>
      </c>
      <c r="I605" s="21">
        <f t="shared" si="562"/>
        <v>0</v>
      </c>
      <c r="J605" s="21">
        <f t="shared" si="563"/>
        <v>0</v>
      </c>
      <c r="K605" s="21">
        <f t="shared" si="564"/>
        <v>0</v>
      </c>
      <c r="L605" s="21">
        <v>0</v>
      </c>
      <c r="M605" s="21">
        <f t="shared" si="565"/>
        <v>0</v>
      </c>
      <c r="N605" s="35" t="s">
        <v>2417</v>
      </c>
      <c r="O605" s="39"/>
      <c r="U605" s="41">
        <f t="shared" si="566"/>
        <v>0</v>
      </c>
      <c r="W605" s="41">
        <f t="shared" si="567"/>
        <v>0</v>
      </c>
      <c r="X605" s="41">
        <f t="shared" si="568"/>
        <v>0</v>
      </c>
      <c r="Y605" s="41">
        <f t="shared" si="569"/>
        <v>0</v>
      </c>
      <c r="Z605" s="41">
        <f t="shared" si="570"/>
        <v>0</v>
      </c>
      <c r="AA605" s="41">
        <f t="shared" si="571"/>
        <v>0</v>
      </c>
      <c r="AB605" s="41">
        <f t="shared" si="572"/>
        <v>0</v>
      </c>
      <c r="AC605" s="41">
        <f t="shared" si="573"/>
        <v>0</v>
      </c>
      <c r="AD605" s="31"/>
      <c r="AE605" s="21">
        <f t="shared" si="574"/>
        <v>0</v>
      </c>
      <c r="AF605" s="21">
        <f t="shared" si="575"/>
        <v>0</v>
      </c>
      <c r="AG605" s="21">
        <f t="shared" si="576"/>
        <v>0</v>
      </c>
      <c r="AI605" s="41">
        <v>21</v>
      </c>
      <c r="AJ605" s="41">
        <f>H605*0.716249168698736</f>
        <v>0</v>
      </c>
      <c r="AK605" s="41">
        <f>H605*(1-0.716249168698736)</f>
        <v>0</v>
      </c>
      <c r="AL605" s="42" t="s">
        <v>13</v>
      </c>
      <c r="AQ605" s="41">
        <f t="shared" si="577"/>
        <v>0</v>
      </c>
      <c r="AR605" s="41">
        <f t="shared" si="578"/>
        <v>0</v>
      </c>
      <c r="AS605" s="41">
        <f t="shared" si="579"/>
        <v>0</v>
      </c>
      <c r="AT605" s="44" t="s">
        <v>2444</v>
      </c>
      <c r="AU605" s="44" t="s">
        <v>2482</v>
      </c>
      <c r="AV605" s="31" t="s">
        <v>2486</v>
      </c>
      <c r="AX605" s="41">
        <f t="shared" si="580"/>
        <v>0</v>
      </c>
      <c r="AY605" s="41">
        <f t="shared" si="581"/>
        <v>0</v>
      </c>
      <c r="AZ605" s="41">
        <v>0</v>
      </c>
      <c r="BA605" s="41">
        <f t="shared" si="582"/>
        <v>0</v>
      </c>
      <c r="BC605" s="21">
        <f t="shared" si="583"/>
        <v>0</v>
      </c>
      <c r="BD605" s="21">
        <f t="shared" si="584"/>
        <v>0</v>
      </c>
      <c r="BE605" s="21">
        <f t="shared" si="585"/>
        <v>0</v>
      </c>
      <c r="BF605" s="21" t="s">
        <v>2492</v>
      </c>
      <c r="BG605" s="41">
        <v>7669</v>
      </c>
    </row>
    <row r="606" spans="1:59" x14ac:dyDescent="0.3">
      <c r="A606" s="4" t="s">
        <v>595</v>
      </c>
      <c r="B606" s="13"/>
      <c r="C606" s="13" t="s">
        <v>1213</v>
      </c>
      <c r="D606" s="101" t="s">
        <v>1993</v>
      </c>
      <c r="E606" s="102"/>
      <c r="F606" s="13" t="s">
        <v>2391</v>
      </c>
      <c r="G606" s="21">
        <v>1</v>
      </c>
      <c r="H606" s="21">
        <v>0</v>
      </c>
      <c r="I606" s="21">
        <f t="shared" si="562"/>
        <v>0</v>
      </c>
      <c r="J606" s="21">
        <f t="shared" si="563"/>
        <v>0</v>
      </c>
      <c r="K606" s="21">
        <f t="shared" si="564"/>
        <v>0</v>
      </c>
      <c r="L606" s="21">
        <v>0</v>
      </c>
      <c r="M606" s="21">
        <f t="shared" si="565"/>
        <v>0</v>
      </c>
      <c r="N606" s="35" t="s">
        <v>2417</v>
      </c>
      <c r="O606" s="39"/>
      <c r="U606" s="41">
        <f t="shared" si="566"/>
        <v>0</v>
      </c>
      <c r="W606" s="41">
        <f t="shared" si="567"/>
        <v>0</v>
      </c>
      <c r="X606" s="41">
        <f t="shared" si="568"/>
        <v>0</v>
      </c>
      <c r="Y606" s="41">
        <f t="shared" si="569"/>
        <v>0</v>
      </c>
      <c r="Z606" s="41">
        <f t="shared" si="570"/>
        <v>0</v>
      </c>
      <c r="AA606" s="41">
        <f t="shared" si="571"/>
        <v>0</v>
      </c>
      <c r="AB606" s="41">
        <f t="shared" si="572"/>
        <v>0</v>
      </c>
      <c r="AC606" s="41">
        <f t="shared" si="573"/>
        <v>0</v>
      </c>
      <c r="AD606" s="31"/>
      <c r="AE606" s="21">
        <f t="shared" si="574"/>
        <v>0</v>
      </c>
      <c r="AF606" s="21">
        <f t="shared" si="575"/>
        <v>0</v>
      </c>
      <c r="AG606" s="21">
        <f t="shared" si="576"/>
        <v>0</v>
      </c>
      <c r="AI606" s="41">
        <v>21</v>
      </c>
      <c r="AJ606" s="41">
        <f>H606*0.900720767229911</f>
        <v>0</v>
      </c>
      <c r="AK606" s="41">
        <f>H606*(1-0.900720767229911)</f>
        <v>0</v>
      </c>
      <c r="AL606" s="42" t="s">
        <v>13</v>
      </c>
      <c r="AQ606" s="41">
        <f t="shared" si="577"/>
        <v>0</v>
      </c>
      <c r="AR606" s="41">
        <f t="shared" si="578"/>
        <v>0</v>
      </c>
      <c r="AS606" s="41">
        <f t="shared" si="579"/>
        <v>0</v>
      </c>
      <c r="AT606" s="44" t="s">
        <v>2444</v>
      </c>
      <c r="AU606" s="44" t="s">
        <v>2482</v>
      </c>
      <c r="AV606" s="31" t="s">
        <v>2486</v>
      </c>
      <c r="AX606" s="41">
        <f t="shared" si="580"/>
        <v>0</v>
      </c>
      <c r="AY606" s="41">
        <f t="shared" si="581"/>
        <v>0</v>
      </c>
      <c r="AZ606" s="41">
        <v>0</v>
      </c>
      <c r="BA606" s="41">
        <f t="shared" si="582"/>
        <v>0</v>
      </c>
      <c r="BC606" s="21">
        <f t="shared" si="583"/>
        <v>0</v>
      </c>
      <c r="BD606" s="21">
        <f t="shared" si="584"/>
        <v>0</v>
      </c>
      <c r="BE606" s="21">
        <f t="shared" si="585"/>
        <v>0</v>
      </c>
      <c r="BF606" s="21" t="s">
        <v>2492</v>
      </c>
      <c r="BG606" s="41">
        <v>7669</v>
      </c>
    </row>
    <row r="607" spans="1:59" x14ac:dyDescent="0.3">
      <c r="A607" s="4" t="s">
        <v>596</v>
      </c>
      <c r="B607" s="13"/>
      <c r="C607" s="13" t="s">
        <v>1214</v>
      </c>
      <c r="D607" s="101" t="s">
        <v>1994</v>
      </c>
      <c r="E607" s="102"/>
      <c r="F607" s="13" t="s">
        <v>2391</v>
      </c>
      <c r="G607" s="21">
        <v>1</v>
      </c>
      <c r="H607" s="21">
        <v>0</v>
      </c>
      <c r="I607" s="21">
        <f t="shared" si="562"/>
        <v>0</v>
      </c>
      <c r="J607" s="21">
        <f t="shared" si="563"/>
        <v>0</v>
      </c>
      <c r="K607" s="21">
        <f t="shared" si="564"/>
        <v>0</v>
      </c>
      <c r="L607" s="21">
        <v>0</v>
      </c>
      <c r="M607" s="21">
        <f t="shared" si="565"/>
        <v>0</v>
      </c>
      <c r="N607" s="35" t="s">
        <v>2417</v>
      </c>
      <c r="O607" s="39"/>
      <c r="U607" s="41">
        <f t="shared" si="566"/>
        <v>0</v>
      </c>
      <c r="W607" s="41">
        <f t="shared" si="567"/>
        <v>0</v>
      </c>
      <c r="X607" s="41">
        <f t="shared" si="568"/>
        <v>0</v>
      </c>
      <c r="Y607" s="41">
        <f t="shared" si="569"/>
        <v>0</v>
      </c>
      <c r="Z607" s="41">
        <f t="shared" si="570"/>
        <v>0</v>
      </c>
      <c r="AA607" s="41">
        <f t="shared" si="571"/>
        <v>0</v>
      </c>
      <c r="AB607" s="41">
        <f t="shared" si="572"/>
        <v>0</v>
      </c>
      <c r="AC607" s="41">
        <f t="shared" si="573"/>
        <v>0</v>
      </c>
      <c r="AD607" s="31"/>
      <c r="AE607" s="21">
        <f t="shared" si="574"/>
        <v>0</v>
      </c>
      <c r="AF607" s="21">
        <f t="shared" si="575"/>
        <v>0</v>
      </c>
      <c r="AG607" s="21">
        <f t="shared" si="576"/>
        <v>0</v>
      </c>
      <c r="AI607" s="41">
        <v>21</v>
      </c>
      <c r="AJ607" s="41">
        <f>H607*0.88664882840525</f>
        <v>0</v>
      </c>
      <c r="AK607" s="41">
        <f>H607*(1-0.88664882840525)</f>
        <v>0</v>
      </c>
      <c r="AL607" s="42" t="s">
        <v>13</v>
      </c>
      <c r="AQ607" s="41">
        <f t="shared" si="577"/>
        <v>0</v>
      </c>
      <c r="AR607" s="41">
        <f t="shared" si="578"/>
        <v>0</v>
      </c>
      <c r="AS607" s="41">
        <f t="shared" si="579"/>
        <v>0</v>
      </c>
      <c r="AT607" s="44" t="s">
        <v>2444</v>
      </c>
      <c r="AU607" s="44" t="s">
        <v>2482</v>
      </c>
      <c r="AV607" s="31" t="s">
        <v>2486</v>
      </c>
      <c r="AX607" s="41">
        <f t="shared" si="580"/>
        <v>0</v>
      </c>
      <c r="AY607" s="41">
        <f t="shared" si="581"/>
        <v>0</v>
      </c>
      <c r="AZ607" s="41">
        <v>0</v>
      </c>
      <c r="BA607" s="41">
        <f t="shared" si="582"/>
        <v>0</v>
      </c>
      <c r="BC607" s="21">
        <f t="shared" si="583"/>
        <v>0</v>
      </c>
      <c r="BD607" s="21">
        <f t="shared" si="584"/>
        <v>0</v>
      </c>
      <c r="BE607" s="21">
        <f t="shared" si="585"/>
        <v>0</v>
      </c>
      <c r="BF607" s="21" t="s">
        <v>2492</v>
      </c>
      <c r="BG607" s="41">
        <v>7669</v>
      </c>
    </row>
    <row r="608" spans="1:59" x14ac:dyDescent="0.3">
      <c r="A608" s="4" t="s">
        <v>597</v>
      </c>
      <c r="B608" s="13"/>
      <c r="C608" s="13" t="s">
        <v>1215</v>
      </c>
      <c r="D608" s="101" t="s">
        <v>1995</v>
      </c>
      <c r="E608" s="102"/>
      <c r="F608" s="13" t="s">
        <v>2391</v>
      </c>
      <c r="G608" s="21">
        <v>1</v>
      </c>
      <c r="H608" s="21">
        <v>0</v>
      </c>
      <c r="I608" s="21">
        <f t="shared" si="562"/>
        <v>0</v>
      </c>
      <c r="J608" s="21">
        <f t="shared" si="563"/>
        <v>0</v>
      </c>
      <c r="K608" s="21">
        <f t="shared" si="564"/>
        <v>0</v>
      </c>
      <c r="L608" s="21">
        <v>0</v>
      </c>
      <c r="M608" s="21">
        <f t="shared" si="565"/>
        <v>0</v>
      </c>
      <c r="N608" s="35" t="s">
        <v>2417</v>
      </c>
      <c r="O608" s="39"/>
      <c r="U608" s="41">
        <f t="shared" si="566"/>
        <v>0</v>
      </c>
      <c r="W608" s="41">
        <f t="shared" si="567"/>
        <v>0</v>
      </c>
      <c r="X608" s="41">
        <f t="shared" si="568"/>
        <v>0</v>
      </c>
      <c r="Y608" s="41">
        <f t="shared" si="569"/>
        <v>0</v>
      </c>
      <c r="Z608" s="41">
        <f t="shared" si="570"/>
        <v>0</v>
      </c>
      <c r="AA608" s="41">
        <f t="shared" si="571"/>
        <v>0</v>
      </c>
      <c r="AB608" s="41">
        <f t="shared" si="572"/>
        <v>0</v>
      </c>
      <c r="AC608" s="41">
        <f t="shared" si="573"/>
        <v>0</v>
      </c>
      <c r="AD608" s="31"/>
      <c r="AE608" s="21">
        <f t="shared" si="574"/>
        <v>0</v>
      </c>
      <c r="AF608" s="21">
        <f t="shared" si="575"/>
        <v>0</v>
      </c>
      <c r="AG608" s="21">
        <f t="shared" si="576"/>
        <v>0</v>
      </c>
      <c r="AI608" s="41">
        <v>21</v>
      </c>
      <c r="AJ608" s="41">
        <f>H608*0.820087060310328</f>
        <v>0</v>
      </c>
      <c r="AK608" s="41">
        <f>H608*(1-0.820087060310328)</f>
        <v>0</v>
      </c>
      <c r="AL608" s="42" t="s">
        <v>13</v>
      </c>
      <c r="AQ608" s="41">
        <f t="shared" si="577"/>
        <v>0</v>
      </c>
      <c r="AR608" s="41">
        <f t="shared" si="578"/>
        <v>0</v>
      </c>
      <c r="AS608" s="41">
        <f t="shared" si="579"/>
        <v>0</v>
      </c>
      <c r="AT608" s="44" t="s">
        <v>2444</v>
      </c>
      <c r="AU608" s="44" t="s">
        <v>2482</v>
      </c>
      <c r="AV608" s="31" t="s">
        <v>2486</v>
      </c>
      <c r="AX608" s="41">
        <f t="shared" si="580"/>
        <v>0</v>
      </c>
      <c r="AY608" s="41">
        <f t="shared" si="581"/>
        <v>0</v>
      </c>
      <c r="AZ608" s="41">
        <v>0</v>
      </c>
      <c r="BA608" s="41">
        <f t="shared" si="582"/>
        <v>0</v>
      </c>
      <c r="BC608" s="21">
        <f t="shared" si="583"/>
        <v>0</v>
      </c>
      <c r="BD608" s="21">
        <f t="shared" si="584"/>
        <v>0</v>
      </c>
      <c r="BE608" s="21">
        <f t="shared" si="585"/>
        <v>0</v>
      </c>
      <c r="BF608" s="21" t="s">
        <v>2492</v>
      </c>
      <c r="BG608" s="41">
        <v>7669</v>
      </c>
    </row>
    <row r="609" spans="1:59" x14ac:dyDescent="0.3">
      <c r="A609" s="4" t="s">
        <v>598</v>
      </c>
      <c r="B609" s="13"/>
      <c r="C609" s="13" t="s">
        <v>1216</v>
      </c>
      <c r="D609" s="101" t="s">
        <v>1996</v>
      </c>
      <c r="E609" s="102"/>
      <c r="F609" s="13" t="s">
        <v>2391</v>
      </c>
      <c r="G609" s="21">
        <v>1</v>
      </c>
      <c r="H609" s="21">
        <v>0</v>
      </c>
      <c r="I609" s="21">
        <f t="shared" si="562"/>
        <v>0</v>
      </c>
      <c r="J609" s="21">
        <f t="shared" si="563"/>
        <v>0</v>
      </c>
      <c r="K609" s="21">
        <f t="shared" si="564"/>
        <v>0</v>
      </c>
      <c r="L609" s="21">
        <v>0</v>
      </c>
      <c r="M609" s="21">
        <f t="shared" si="565"/>
        <v>0</v>
      </c>
      <c r="N609" s="35" t="s">
        <v>2417</v>
      </c>
      <c r="O609" s="39"/>
      <c r="U609" s="41">
        <f t="shared" si="566"/>
        <v>0</v>
      </c>
      <c r="W609" s="41">
        <f t="shared" si="567"/>
        <v>0</v>
      </c>
      <c r="X609" s="41">
        <f t="shared" si="568"/>
        <v>0</v>
      </c>
      <c r="Y609" s="41">
        <f t="shared" si="569"/>
        <v>0</v>
      </c>
      <c r="Z609" s="41">
        <f t="shared" si="570"/>
        <v>0</v>
      </c>
      <c r="AA609" s="41">
        <f t="shared" si="571"/>
        <v>0</v>
      </c>
      <c r="AB609" s="41">
        <f t="shared" si="572"/>
        <v>0</v>
      </c>
      <c r="AC609" s="41">
        <f t="shared" si="573"/>
        <v>0</v>
      </c>
      <c r="AD609" s="31"/>
      <c r="AE609" s="21">
        <f t="shared" si="574"/>
        <v>0</v>
      </c>
      <c r="AF609" s="21">
        <f t="shared" si="575"/>
        <v>0</v>
      </c>
      <c r="AG609" s="21">
        <f t="shared" si="576"/>
        <v>0</v>
      </c>
      <c r="AI609" s="41">
        <v>21</v>
      </c>
      <c r="AJ609" s="41">
        <f>H609*0.757288905717531</f>
        <v>0</v>
      </c>
      <c r="AK609" s="41">
        <f>H609*(1-0.757288905717531)</f>
        <v>0</v>
      </c>
      <c r="AL609" s="42" t="s">
        <v>13</v>
      </c>
      <c r="AQ609" s="41">
        <f t="shared" si="577"/>
        <v>0</v>
      </c>
      <c r="AR609" s="41">
        <f t="shared" si="578"/>
        <v>0</v>
      </c>
      <c r="AS609" s="41">
        <f t="shared" si="579"/>
        <v>0</v>
      </c>
      <c r="AT609" s="44" t="s">
        <v>2444</v>
      </c>
      <c r="AU609" s="44" t="s">
        <v>2482</v>
      </c>
      <c r="AV609" s="31" t="s">
        <v>2486</v>
      </c>
      <c r="AX609" s="41">
        <f t="shared" si="580"/>
        <v>0</v>
      </c>
      <c r="AY609" s="41">
        <f t="shared" si="581"/>
        <v>0</v>
      </c>
      <c r="AZ609" s="41">
        <v>0</v>
      </c>
      <c r="BA609" s="41">
        <f t="shared" si="582"/>
        <v>0</v>
      </c>
      <c r="BC609" s="21">
        <f t="shared" si="583"/>
        <v>0</v>
      </c>
      <c r="BD609" s="21">
        <f t="shared" si="584"/>
        <v>0</v>
      </c>
      <c r="BE609" s="21">
        <f t="shared" si="585"/>
        <v>0</v>
      </c>
      <c r="BF609" s="21" t="s">
        <v>2492</v>
      </c>
      <c r="BG609" s="41">
        <v>7669</v>
      </c>
    </row>
    <row r="610" spans="1:59" x14ac:dyDescent="0.3">
      <c r="A610" s="4" t="s">
        <v>599</v>
      </c>
      <c r="B610" s="13"/>
      <c r="C610" s="13" t="s">
        <v>1217</v>
      </c>
      <c r="D610" s="101" t="s">
        <v>1997</v>
      </c>
      <c r="E610" s="102"/>
      <c r="F610" s="13" t="s">
        <v>2391</v>
      </c>
      <c r="G610" s="21">
        <v>1</v>
      </c>
      <c r="H610" s="21">
        <v>0</v>
      </c>
      <c r="I610" s="21">
        <f t="shared" si="562"/>
        <v>0</v>
      </c>
      <c r="J610" s="21">
        <f t="shared" si="563"/>
        <v>0</v>
      </c>
      <c r="K610" s="21">
        <f t="shared" si="564"/>
        <v>0</v>
      </c>
      <c r="L610" s="21">
        <v>0</v>
      </c>
      <c r="M610" s="21">
        <f t="shared" si="565"/>
        <v>0</v>
      </c>
      <c r="N610" s="35" t="s">
        <v>2417</v>
      </c>
      <c r="O610" s="39"/>
      <c r="U610" s="41">
        <f t="shared" si="566"/>
        <v>0</v>
      </c>
      <c r="W610" s="41">
        <f t="shared" si="567"/>
        <v>0</v>
      </c>
      <c r="X610" s="41">
        <f t="shared" si="568"/>
        <v>0</v>
      </c>
      <c r="Y610" s="41">
        <f t="shared" si="569"/>
        <v>0</v>
      </c>
      <c r="Z610" s="41">
        <f t="shared" si="570"/>
        <v>0</v>
      </c>
      <c r="AA610" s="41">
        <f t="shared" si="571"/>
        <v>0</v>
      </c>
      <c r="AB610" s="41">
        <f t="shared" si="572"/>
        <v>0</v>
      </c>
      <c r="AC610" s="41">
        <f t="shared" si="573"/>
        <v>0</v>
      </c>
      <c r="AD610" s="31"/>
      <c r="AE610" s="21">
        <f t="shared" si="574"/>
        <v>0</v>
      </c>
      <c r="AF610" s="21">
        <f t="shared" si="575"/>
        <v>0</v>
      </c>
      <c r="AG610" s="21">
        <f t="shared" si="576"/>
        <v>0</v>
      </c>
      <c r="AI610" s="41">
        <v>21</v>
      </c>
      <c r="AJ610" s="41">
        <f>H610*0.87719298245614</f>
        <v>0</v>
      </c>
      <c r="AK610" s="41">
        <f>H610*(1-0.87719298245614)</f>
        <v>0</v>
      </c>
      <c r="AL610" s="42" t="s">
        <v>13</v>
      </c>
      <c r="AQ610" s="41">
        <f t="shared" si="577"/>
        <v>0</v>
      </c>
      <c r="AR610" s="41">
        <f t="shared" si="578"/>
        <v>0</v>
      </c>
      <c r="AS610" s="41">
        <f t="shared" si="579"/>
        <v>0</v>
      </c>
      <c r="AT610" s="44" t="s">
        <v>2444</v>
      </c>
      <c r="AU610" s="44" t="s">
        <v>2482</v>
      </c>
      <c r="AV610" s="31" t="s">
        <v>2486</v>
      </c>
      <c r="AX610" s="41">
        <f t="shared" si="580"/>
        <v>0</v>
      </c>
      <c r="AY610" s="41">
        <f t="shared" si="581"/>
        <v>0</v>
      </c>
      <c r="AZ610" s="41">
        <v>0</v>
      </c>
      <c r="BA610" s="41">
        <f t="shared" si="582"/>
        <v>0</v>
      </c>
      <c r="BC610" s="21">
        <f t="shared" si="583"/>
        <v>0</v>
      </c>
      <c r="BD610" s="21">
        <f t="shared" si="584"/>
        <v>0</v>
      </c>
      <c r="BE610" s="21">
        <f t="shared" si="585"/>
        <v>0</v>
      </c>
      <c r="BF610" s="21" t="s">
        <v>2492</v>
      </c>
      <c r="BG610" s="41">
        <v>7669</v>
      </c>
    </row>
    <row r="611" spans="1:59" x14ac:dyDescent="0.3">
      <c r="A611" s="4" t="s">
        <v>600</v>
      </c>
      <c r="B611" s="13"/>
      <c r="C611" s="13" t="s">
        <v>1218</v>
      </c>
      <c r="D611" s="101" t="s">
        <v>1998</v>
      </c>
      <c r="E611" s="102"/>
      <c r="F611" s="13" t="s">
        <v>2391</v>
      </c>
      <c r="G611" s="21">
        <v>2</v>
      </c>
      <c r="H611" s="21">
        <v>0</v>
      </c>
      <c r="I611" s="21">
        <f t="shared" si="562"/>
        <v>0</v>
      </c>
      <c r="J611" s="21">
        <f t="shared" si="563"/>
        <v>0</v>
      </c>
      <c r="K611" s="21">
        <f t="shared" si="564"/>
        <v>0</v>
      </c>
      <c r="L611" s="21">
        <v>0</v>
      </c>
      <c r="M611" s="21">
        <f t="shared" si="565"/>
        <v>0</v>
      </c>
      <c r="N611" s="35" t="s">
        <v>2417</v>
      </c>
      <c r="O611" s="39"/>
      <c r="U611" s="41">
        <f t="shared" si="566"/>
        <v>0</v>
      </c>
      <c r="W611" s="41">
        <f t="shared" si="567"/>
        <v>0</v>
      </c>
      <c r="X611" s="41">
        <f t="shared" si="568"/>
        <v>0</v>
      </c>
      <c r="Y611" s="41">
        <f t="shared" si="569"/>
        <v>0</v>
      </c>
      <c r="Z611" s="41">
        <f t="shared" si="570"/>
        <v>0</v>
      </c>
      <c r="AA611" s="41">
        <f t="shared" si="571"/>
        <v>0</v>
      </c>
      <c r="AB611" s="41">
        <f t="shared" si="572"/>
        <v>0</v>
      </c>
      <c r="AC611" s="41">
        <f t="shared" si="573"/>
        <v>0</v>
      </c>
      <c r="AD611" s="31"/>
      <c r="AE611" s="21">
        <f t="shared" si="574"/>
        <v>0</v>
      </c>
      <c r="AF611" s="21">
        <f t="shared" si="575"/>
        <v>0</v>
      </c>
      <c r="AG611" s="21">
        <f t="shared" si="576"/>
        <v>0</v>
      </c>
      <c r="AI611" s="41">
        <v>21</v>
      </c>
      <c r="AJ611" s="41">
        <f>H611*0.763540973915614</f>
        <v>0</v>
      </c>
      <c r="AK611" s="41">
        <f>H611*(1-0.763540973915614)</f>
        <v>0</v>
      </c>
      <c r="AL611" s="42" t="s">
        <v>13</v>
      </c>
      <c r="AQ611" s="41">
        <f t="shared" si="577"/>
        <v>0</v>
      </c>
      <c r="AR611" s="41">
        <f t="shared" si="578"/>
        <v>0</v>
      </c>
      <c r="AS611" s="41">
        <f t="shared" si="579"/>
        <v>0</v>
      </c>
      <c r="AT611" s="44" t="s">
        <v>2444</v>
      </c>
      <c r="AU611" s="44" t="s">
        <v>2482</v>
      </c>
      <c r="AV611" s="31" t="s">
        <v>2486</v>
      </c>
      <c r="AX611" s="41">
        <f t="shared" si="580"/>
        <v>0</v>
      </c>
      <c r="AY611" s="41">
        <f t="shared" si="581"/>
        <v>0</v>
      </c>
      <c r="AZ611" s="41">
        <v>0</v>
      </c>
      <c r="BA611" s="41">
        <f t="shared" si="582"/>
        <v>0</v>
      </c>
      <c r="BC611" s="21">
        <f t="shared" si="583"/>
        <v>0</v>
      </c>
      <c r="BD611" s="21">
        <f t="shared" si="584"/>
        <v>0</v>
      </c>
      <c r="BE611" s="21">
        <f t="shared" si="585"/>
        <v>0</v>
      </c>
      <c r="BF611" s="21" t="s">
        <v>2492</v>
      </c>
      <c r="BG611" s="41">
        <v>7669</v>
      </c>
    </row>
    <row r="612" spans="1:59" x14ac:dyDescent="0.3">
      <c r="A612" s="4" t="s">
        <v>601</v>
      </c>
      <c r="B612" s="13"/>
      <c r="C612" s="13" t="s">
        <v>1219</v>
      </c>
      <c r="D612" s="101" t="s">
        <v>1999</v>
      </c>
      <c r="E612" s="102"/>
      <c r="F612" s="13" t="s">
        <v>2391</v>
      </c>
      <c r="G612" s="21">
        <v>1</v>
      </c>
      <c r="H612" s="21">
        <v>0</v>
      </c>
      <c r="I612" s="21">
        <f t="shared" si="562"/>
        <v>0</v>
      </c>
      <c r="J612" s="21">
        <f t="shared" si="563"/>
        <v>0</v>
      </c>
      <c r="K612" s="21">
        <f t="shared" si="564"/>
        <v>0</v>
      </c>
      <c r="L612" s="21">
        <v>0</v>
      </c>
      <c r="M612" s="21">
        <f t="shared" si="565"/>
        <v>0</v>
      </c>
      <c r="N612" s="35" t="s">
        <v>2417</v>
      </c>
      <c r="O612" s="39"/>
      <c r="U612" s="41">
        <f t="shared" si="566"/>
        <v>0</v>
      </c>
      <c r="W612" s="41">
        <f t="shared" si="567"/>
        <v>0</v>
      </c>
      <c r="X612" s="41">
        <f t="shared" si="568"/>
        <v>0</v>
      </c>
      <c r="Y612" s="41">
        <f t="shared" si="569"/>
        <v>0</v>
      </c>
      <c r="Z612" s="41">
        <f t="shared" si="570"/>
        <v>0</v>
      </c>
      <c r="AA612" s="41">
        <f t="shared" si="571"/>
        <v>0</v>
      </c>
      <c r="AB612" s="41">
        <f t="shared" si="572"/>
        <v>0</v>
      </c>
      <c r="AC612" s="41">
        <f t="shared" si="573"/>
        <v>0</v>
      </c>
      <c r="AD612" s="31"/>
      <c r="AE612" s="21">
        <f t="shared" si="574"/>
        <v>0</v>
      </c>
      <c r="AF612" s="21">
        <f t="shared" si="575"/>
        <v>0</v>
      </c>
      <c r="AG612" s="21">
        <f t="shared" si="576"/>
        <v>0</v>
      </c>
      <c r="AI612" s="41">
        <v>21</v>
      </c>
      <c r="AJ612" s="41">
        <f>H612*0.793098352176162</f>
        <v>0</v>
      </c>
      <c r="AK612" s="41">
        <f>H612*(1-0.793098352176162)</f>
        <v>0</v>
      </c>
      <c r="AL612" s="42" t="s">
        <v>13</v>
      </c>
      <c r="AQ612" s="41">
        <f t="shared" si="577"/>
        <v>0</v>
      </c>
      <c r="AR612" s="41">
        <f t="shared" si="578"/>
        <v>0</v>
      </c>
      <c r="AS612" s="41">
        <f t="shared" si="579"/>
        <v>0</v>
      </c>
      <c r="AT612" s="44" t="s">
        <v>2444</v>
      </c>
      <c r="AU612" s="44" t="s">
        <v>2482</v>
      </c>
      <c r="AV612" s="31" t="s">
        <v>2486</v>
      </c>
      <c r="AX612" s="41">
        <f t="shared" si="580"/>
        <v>0</v>
      </c>
      <c r="AY612" s="41">
        <f t="shared" si="581"/>
        <v>0</v>
      </c>
      <c r="AZ612" s="41">
        <v>0</v>
      </c>
      <c r="BA612" s="41">
        <f t="shared" si="582"/>
        <v>0</v>
      </c>
      <c r="BC612" s="21">
        <f t="shared" si="583"/>
        <v>0</v>
      </c>
      <c r="BD612" s="21">
        <f t="shared" si="584"/>
        <v>0</v>
      </c>
      <c r="BE612" s="21">
        <f t="shared" si="585"/>
        <v>0</v>
      </c>
      <c r="BF612" s="21" t="s">
        <v>2492</v>
      </c>
      <c r="BG612" s="41">
        <v>7669</v>
      </c>
    </row>
    <row r="613" spans="1:59" x14ac:dyDescent="0.3">
      <c r="A613" s="4" t="s">
        <v>602</v>
      </c>
      <c r="B613" s="13"/>
      <c r="C613" s="13" t="s">
        <v>1220</v>
      </c>
      <c r="D613" s="101" t="s">
        <v>2000</v>
      </c>
      <c r="E613" s="102"/>
      <c r="F613" s="13" t="s">
        <v>2391</v>
      </c>
      <c r="G613" s="21">
        <v>1</v>
      </c>
      <c r="H613" s="21">
        <v>0</v>
      </c>
      <c r="I613" s="21">
        <f t="shared" si="562"/>
        <v>0</v>
      </c>
      <c r="J613" s="21">
        <f t="shared" si="563"/>
        <v>0</v>
      </c>
      <c r="K613" s="21">
        <f t="shared" si="564"/>
        <v>0</v>
      </c>
      <c r="L613" s="21">
        <v>0</v>
      </c>
      <c r="M613" s="21">
        <f t="shared" si="565"/>
        <v>0</v>
      </c>
      <c r="N613" s="35" t="s">
        <v>2417</v>
      </c>
      <c r="O613" s="39"/>
      <c r="U613" s="41">
        <f t="shared" si="566"/>
        <v>0</v>
      </c>
      <c r="W613" s="41">
        <f t="shared" si="567"/>
        <v>0</v>
      </c>
      <c r="X613" s="41">
        <f t="shared" si="568"/>
        <v>0</v>
      </c>
      <c r="Y613" s="41">
        <f t="shared" si="569"/>
        <v>0</v>
      </c>
      <c r="Z613" s="41">
        <f t="shared" si="570"/>
        <v>0</v>
      </c>
      <c r="AA613" s="41">
        <f t="shared" si="571"/>
        <v>0</v>
      </c>
      <c r="AB613" s="41">
        <f t="shared" si="572"/>
        <v>0</v>
      </c>
      <c r="AC613" s="41">
        <f t="shared" si="573"/>
        <v>0</v>
      </c>
      <c r="AD613" s="31"/>
      <c r="AE613" s="21">
        <f t="shared" si="574"/>
        <v>0</v>
      </c>
      <c r="AF613" s="21">
        <f t="shared" si="575"/>
        <v>0</v>
      </c>
      <c r="AG613" s="21">
        <f t="shared" si="576"/>
        <v>0</v>
      </c>
      <c r="AI613" s="41">
        <v>21</v>
      </c>
      <c r="AJ613" s="41">
        <f>H613*0.797521079501902</f>
        <v>0</v>
      </c>
      <c r="AK613" s="41">
        <f>H613*(1-0.797521079501902)</f>
        <v>0</v>
      </c>
      <c r="AL613" s="42" t="s">
        <v>13</v>
      </c>
      <c r="AQ613" s="41">
        <f t="shared" si="577"/>
        <v>0</v>
      </c>
      <c r="AR613" s="41">
        <f t="shared" si="578"/>
        <v>0</v>
      </c>
      <c r="AS613" s="41">
        <f t="shared" si="579"/>
        <v>0</v>
      </c>
      <c r="AT613" s="44" t="s">
        <v>2444</v>
      </c>
      <c r="AU613" s="44" t="s">
        <v>2482</v>
      </c>
      <c r="AV613" s="31" t="s">
        <v>2486</v>
      </c>
      <c r="AX613" s="41">
        <f t="shared" si="580"/>
        <v>0</v>
      </c>
      <c r="AY613" s="41">
        <f t="shared" si="581"/>
        <v>0</v>
      </c>
      <c r="AZ613" s="41">
        <v>0</v>
      </c>
      <c r="BA613" s="41">
        <f t="shared" si="582"/>
        <v>0</v>
      </c>
      <c r="BC613" s="21">
        <f t="shared" si="583"/>
        <v>0</v>
      </c>
      <c r="BD613" s="21">
        <f t="shared" si="584"/>
        <v>0</v>
      </c>
      <c r="BE613" s="21">
        <f t="shared" si="585"/>
        <v>0</v>
      </c>
      <c r="BF613" s="21" t="s">
        <v>2492</v>
      </c>
      <c r="BG613" s="41">
        <v>7669</v>
      </c>
    </row>
    <row r="614" spans="1:59" x14ac:dyDescent="0.3">
      <c r="A614" s="4" t="s">
        <v>603</v>
      </c>
      <c r="B614" s="13"/>
      <c r="C614" s="13" t="s">
        <v>1221</v>
      </c>
      <c r="D614" s="101" t="s">
        <v>2001</v>
      </c>
      <c r="E614" s="102"/>
      <c r="F614" s="13" t="s">
        <v>2391</v>
      </c>
      <c r="G614" s="21">
        <v>1</v>
      </c>
      <c r="H614" s="21">
        <v>0</v>
      </c>
      <c r="I614" s="21">
        <f t="shared" si="562"/>
        <v>0</v>
      </c>
      <c r="J614" s="21">
        <f t="shared" si="563"/>
        <v>0</v>
      </c>
      <c r="K614" s="21">
        <f t="shared" si="564"/>
        <v>0</v>
      </c>
      <c r="L614" s="21">
        <v>0</v>
      </c>
      <c r="M614" s="21">
        <f t="shared" si="565"/>
        <v>0</v>
      </c>
      <c r="N614" s="35" t="s">
        <v>2417</v>
      </c>
      <c r="O614" s="39"/>
      <c r="U614" s="41">
        <f t="shared" si="566"/>
        <v>0</v>
      </c>
      <c r="W614" s="41">
        <f t="shared" si="567"/>
        <v>0</v>
      </c>
      <c r="X614" s="41">
        <f t="shared" si="568"/>
        <v>0</v>
      </c>
      <c r="Y614" s="41">
        <f t="shared" si="569"/>
        <v>0</v>
      </c>
      <c r="Z614" s="41">
        <f t="shared" si="570"/>
        <v>0</v>
      </c>
      <c r="AA614" s="41">
        <f t="shared" si="571"/>
        <v>0</v>
      </c>
      <c r="AB614" s="41">
        <f t="shared" si="572"/>
        <v>0</v>
      </c>
      <c r="AC614" s="41">
        <f t="shared" si="573"/>
        <v>0</v>
      </c>
      <c r="AD614" s="31"/>
      <c r="AE614" s="21">
        <f t="shared" si="574"/>
        <v>0</v>
      </c>
      <c r="AF614" s="21">
        <f t="shared" si="575"/>
        <v>0</v>
      </c>
      <c r="AG614" s="21">
        <f t="shared" si="576"/>
        <v>0</v>
      </c>
      <c r="AI614" s="41">
        <v>21</v>
      </c>
      <c r="AJ614" s="41">
        <f>H614*0.78490328329774</f>
        <v>0</v>
      </c>
      <c r="AK614" s="41">
        <f>H614*(1-0.78490328329774)</f>
        <v>0</v>
      </c>
      <c r="AL614" s="42" t="s">
        <v>13</v>
      </c>
      <c r="AQ614" s="41">
        <f t="shared" si="577"/>
        <v>0</v>
      </c>
      <c r="AR614" s="41">
        <f t="shared" si="578"/>
        <v>0</v>
      </c>
      <c r="AS614" s="41">
        <f t="shared" si="579"/>
        <v>0</v>
      </c>
      <c r="AT614" s="44" t="s">
        <v>2444</v>
      </c>
      <c r="AU614" s="44" t="s">
        <v>2482</v>
      </c>
      <c r="AV614" s="31" t="s">
        <v>2486</v>
      </c>
      <c r="AX614" s="41">
        <f t="shared" si="580"/>
        <v>0</v>
      </c>
      <c r="AY614" s="41">
        <f t="shared" si="581"/>
        <v>0</v>
      </c>
      <c r="AZ614" s="41">
        <v>0</v>
      </c>
      <c r="BA614" s="41">
        <f t="shared" si="582"/>
        <v>0</v>
      </c>
      <c r="BC614" s="21">
        <f t="shared" si="583"/>
        <v>0</v>
      </c>
      <c r="BD614" s="21">
        <f t="shared" si="584"/>
        <v>0</v>
      </c>
      <c r="BE614" s="21">
        <f t="shared" si="585"/>
        <v>0</v>
      </c>
      <c r="BF614" s="21" t="s">
        <v>2492</v>
      </c>
      <c r="BG614" s="41">
        <v>7669</v>
      </c>
    </row>
    <row r="615" spans="1:59" x14ac:dyDescent="0.3">
      <c r="A615" s="4" t="s">
        <v>604</v>
      </c>
      <c r="B615" s="13"/>
      <c r="C615" s="13" t="s">
        <v>1222</v>
      </c>
      <c r="D615" s="101" t="s">
        <v>2002</v>
      </c>
      <c r="E615" s="102"/>
      <c r="F615" s="13" t="s">
        <v>2391</v>
      </c>
      <c r="G615" s="21">
        <v>1</v>
      </c>
      <c r="H615" s="21">
        <v>0</v>
      </c>
      <c r="I615" s="21">
        <f t="shared" si="562"/>
        <v>0</v>
      </c>
      <c r="J615" s="21">
        <f t="shared" si="563"/>
        <v>0</v>
      </c>
      <c r="K615" s="21">
        <f t="shared" si="564"/>
        <v>0</v>
      </c>
      <c r="L615" s="21">
        <v>0</v>
      </c>
      <c r="M615" s="21">
        <f t="shared" si="565"/>
        <v>0</v>
      </c>
      <c r="N615" s="35" t="s">
        <v>2417</v>
      </c>
      <c r="O615" s="39"/>
      <c r="U615" s="41">
        <f t="shared" si="566"/>
        <v>0</v>
      </c>
      <c r="W615" s="41">
        <f t="shared" si="567"/>
        <v>0</v>
      </c>
      <c r="X615" s="41">
        <f t="shared" si="568"/>
        <v>0</v>
      </c>
      <c r="Y615" s="41">
        <f t="shared" si="569"/>
        <v>0</v>
      </c>
      <c r="Z615" s="41">
        <f t="shared" si="570"/>
        <v>0</v>
      </c>
      <c r="AA615" s="41">
        <f t="shared" si="571"/>
        <v>0</v>
      </c>
      <c r="AB615" s="41">
        <f t="shared" si="572"/>
        <v>0</v>
      </c>
      <c r="AC615" s="41">
        <f t="shared" si="573"/>
        <v>0</v>
      </c>
      <c r="AD615" s="31"/>
      <c r="AE615" s="21">
        <f t="shared" si="574"/>
        <v>0</v>
      </c>
      <c r="AF615" s="21">
        <f t="shared" si="575"/>
        <v>0</v>
      </c>
      <c r="AG615" s="21">
        <f t="shared" si="576"/>
        <v>0</v>
      </c>
      <c r="AI615" s="41">
        <v>21</v>
      </c>
      <c r="AJ615" s="41">
        <f>H615*0.833396440742143</f>
        <v>0</v>
      </c>
      <c r="AK615" s="41">
        <f>H615*(1-0.833396440742143)</f>
        <v>0</v>
      </c>
      <c r="AL615" s="42" t="s">
        <v>13</v>
      </c>
      <c r="AQ615" s="41">
        <f t="shared" si="577"/>
        <v>0</v>
      </c>
      <c r="AR615" s="41">
        <f t="shared" si="578"/>
        <v>0</v>
      </c>
      <c r="AS615" s="41">
        <f t="shared" si="579"/>
        <v>0</v>
      </c>
      <c r="AT615" s="44" t="s">
        <v>2444</v>
      </c>
      <c r="AU615" s="44" t="s">
        <v>2482</v>
      </c>
      <c r="AV615" s="31" t="s">
        <v>2486</v>
      </c>
      <c r="AX615" s="41">
        <f t="shared" si="580"/>
        <v>0</v>
      </c>
      <c r="AY615" s="41">
        <f t="shared" si="581"/>
        <v>0</v>
      </c>
      <c r="AZ615" s="41">
        <v>0</v>
      </c>
      <c r="BA615" s="41">
        <f t="shared" si="582"/>
        <v>0</v>
      </c>
      <c r="BC615" s="21">
        <f t="shared" si="583"/>
        <v>0</v>
      </c>
      <c r="BD615" s="21">
        <f t="shared" si="584"/>
        <v>0</v>
      </c>
      <c r="BE615" s="21">
        <f t="shared" si="585"/>
        <v>0</v>
      </c>
      <c r="BF615" s="21" t="s">
        <v>2492</v>
      </c>
      <c r="BG615" s="41">
        <v>7669</v>
      </c>
    </row>
    <row r="616" spans="1:59" x14ac:dyDescent="0.3">
      <c r="A616" s="4" t="s">
        <v>605</v>
      </c>
      <c r="B616" s="13"/>
      <c r="C616" s="13" t="s">
        <v>1223</v>
      </c>
      <c r="D616" s="101" t="s">
        <v>2003</v>
      </c>
      <c r="E616" s="102"/>
      <c r="F616" s="13" t="s">
        <v>2391</v>
      </c>
      <c r="G616" s="21">
        <v>1</v>
      </c>
      <c r="H616" s="21">
        <v>0</v>
      </c>
      <c r="I616" s="21">
        <f t="shared" si="562"/>
        <v>0</v>
      </c>
      <c r="J616" s="21">
        <f t="shared" si="563"/>
        <v>0</v>
      </c>
      <c r="K616" s="21">
        <f t="shared" si="564"/>
        <v>0</v>
      </c>
      <c r="L616" s="21">
        <v>0</v>
      </c>
      <c r="M616" s="21">
        <f t="shared" si="565"/>
        <v>0</v>
      </c>
      <c r="N616" s="35" t="s">
        <v>2417</v>
      </c>
      <c r="O616" s="39"/>
      <c r="U616" s="41">
        <f t="shared" si="566"/>
        <v>0</v>
      </c>
      <c r="W616" s="41">
        <f t="shared" si="567"/>
        <v>0</v>
      </c>
      <c r="X616" s="41">
        <f t="shared" si="568"/>
        <v>0</v>
      </c>
      <c r="Y616" s="41">
        <f t="shared" si="569"/>
        <v>0</v>
      </c>
      <c r="Z616" s="41">
        <f t="shared" si="570"/>
        <v>0</v>
      </c>
      <c r="AA616" s="41">
        <f t="shared" si="571"/>
        <v>0</v>
      </c>
      <c r="AB616" s="41">
        <f t="shared" si="572"/>
        <v>0</v>
      </c>
      <c r="AC616" s="41">
        <f t="shared" si="573"/>
        <v>0</v>
      </c>
      <c r="AD616" s="31"/>
      <c r="AE616" s="21">
        <f t="shared" si="574"/>
        <v>0</v>
      </c>
      <c r="AF616" s="21">
        <f t="shared" si="575"/>
        <v>0</v>
      </c>
      <c r="AG616" s="21">
        <f t="shared" si="576"/>
        <v>0</v>
      </c>
      <c r="AI616" s="41">
        <v>21</v>
      </c>
      <c r="AJ616" s="41">
        <f>H616*0.726467179660675</f>
        <v>0</v>
      </c>
      <c r="AK616" s="41">
        <f>H616*(1-0.726467179660675)</f>
        <v>0</v>
      </c>
      <c r="AL616" s="42" t="s">
        <v>13</v>
      </c>
      <c r="AQ616" s="41">
        <f t="shared" si="577"/>
        <v>0</v>
      </c>
      <c r="AR616" s="41">
        <f t="shared" si="578"/>
        <v>0</v>
      </c>
      <c r="AS616" s="41">
        <f t="shared" si="579"/>
        <v>0</v>
      </c>
      <c r="AT616" s="44" t="s">
        <v>2444</v>
      </c>
      <c r="AU616" s="44" t="s">
        <v>2482</v>
      </c>
      <c r="AV616" s="31" t="s">
        <v>2486</v>
      </c>
      <c r="AX616" s="41">
        <f t="shared" si="580"/>
        <v>0</v>
      </c>
      <c r="AY616" s="41">
        <f t="shared" si="581"/>
        <v>0</v>
      </c>
      <c r="AZ616" s="41">
        <v>0</v>
      </c>
      <c r="BA616" s="41">
        <f t="shared" si="582"/>
        <v>0</v>
      </c>
      <c r="BC616" s="21">
        <f t="shared" si="583"/>
        <v>0</v>
      </c>
      <c r="BD616" s="21">
        <f t="shared" si="584"/>
        <v>0</v>
      </c>
      <c r="BE616" s="21">
        <f t="shared" si="585"/>
        <v>0</v>
      </c>
      <c r="BF616" s="21" t="s">
        <v>2492</v>
      </c>
      <c r="BG616" s="41">
        <v>7669</v>
      </c>
    </row>
    <row r="617" spans="1:59" x14ac:dyDescent="0.3">
      <c r="A617" s="4" t="s">
        <v>606</v>
      </c>
      <c r="B617" s="13"/>
      <c r="C617" s="13" t="s">
        <v>1224</v>
      </c>
      <c r="D617" s="101" t="s">
        <v>2004</v>
      </c>
      <c r="E617" s="102"/>
      <c r="F617" s="13" t="s">
        <v>2391</v>
      </c>
      <c r="G617" s="21">
        <v>1</v>
      </c>
      <c r="H617" s="21">
        <v>0</v>
      </c>
      <c r="I617" s="21">
        <f t="shared" si="562"/>
        <v>0</v>
      </c>
      <c r="J617" s="21">
        <f t="shared" si="563"/>
        <v>0</v>
      </c>
      <c r="K617" s="21">
        <f t="shared" si="564"/>
        <v>0</v>
      </c>
      <c r="L617" s="21">
        <v>0</v>
      </c>
      <c r="M617" s="21">
        <f t="shared" si="565"/>
        <v>0</v>
      </c>
      <c r="N617" s="35" t="s">
        <v>2417</v>
      </c>
      <c r="O617" s="39"/>
      <c r="U617" s="41">
        <f t="shared" si="566"/>
        <v>0</v>
      </c>
      <c r="W617" s="41">
        <f t="shared" si="567"/>
        <v>0</v>
      </c>
      <c r="X617" s="41">
        <f t="shared" si="568"/>
        <v>0</v>
      </c>
      <c r="Y617" s="41">
        <f t="shared" si="569"/>
        <v>0</v>
      </c>
      <c r="Z617" s="41">
        <f t="shared" si="570"/>
        <v>0</v>
      </c>
      <c r="AA617" s="41">
        <f t="shared" si="571"/>
        <v>0</v>
      </c>
      <c r="AB617" s="41">
        <f t="shared" si="572"/>
        <v>0</v>
      </c>
      <c r="AC617" s="41">
        <f t="shared" si="573"/>
        <v>0</v>
      </c>
      <c r="AD617" s="31"/>
      <c r="AE617" s="21">
        <f t="shared" si="574"/>
        <v>0</v>
      </c>
      <c r="AF617" s="21">
        <f t="shared" si="575"/>
        <v>0</v>
      </c>
      <c r="AG617" s="21">
        <f t="shared" si="576"/>
        <v>0</v>
      </c>
      <c r="AI617" s="41">
        <v>21</v>
      </c>
      <c r="AJ617" s="41">
        <f>H617*0.819191060806046</f>
        <v>0</v>
      </c>
      <c r="AK617" s="41">
        <f>H617*(1-0.819191060806046)</f>
        <v>0</v>
      </c>
      <c r="AL617" s="42" t="s">
        <v>13</v>
      </c>
      <c r="AQ617" s="41">
        <f t="shared" si="577"/>
        <v>0</v>
      </c>
      <c r="AR617" s="41">
        <f t="shared" si="578"/>
        <v>0</v>
      </c>
      <c r="AS617" s="41">
        <f t="shared" si="579"/>
        <v>0</v>
      </c>
      <c r="AT617" s="44" t="s">
        <v>2444</v>
      </c>
      <c r="AU617" s="44" t="s">
        <v>2482</v>
      </c>
      <c r="AV617" s="31" t="s">
        <v>2486</v>
      </c>
      <c r="AX617" s="41">
        <f t="shared" si="580"/>
        <v>0</v>
      </c>
      <c r="AY617" s="41">
        <f t="shared" si="581"/>
        <v>0</v>
      </c>
      <c r="AZ617" s="41">
        <v>0</v>
      </c>
      <c r="BA617" s="41">
        <f t="shared" si="582"/>
        <v>0</v>
      </c>
      <c r="BC617" s="21">
        <f t="shared" si="583"/>
        <v>0</v>
      </c>
      <c r="BD617" s="21">
        <f t="shared" si="584"/>
        <v>0</v>
      </c>
      <c r="BE617" s="21">
        <f t="shared" si="585"/>
        <v>0</v>
      </c>
      <c r="BF617" s="21" t="s">
        <v>2492</v>
      </c>
      <c r="BG617" s="41">
        <v>7669</v>
      </c>
    </row>
    <row r="618" spans="1:59" x14ac:dyDescent="0.3">
      <c r="A618" s="4" t="s">
        <v>607</v>
      </c>
      <c r="B618" s="13"/>
      <c r="C618" s="13" t="s">
        <v>1225</v>
      </c>
      <c r="D618" s="101" t="s">
        <v>2005</v>
      </c>
      <c r="E618" s="102"/>
      <c r="F618" s="13" t="s">
        <v>2391</v>
      </c>
      <c r="G618" s="21">
        <v>1</v>
      </c>
      <c r="H618" s="21">
        <v>0</v>
      </c>
      <c r="I618" s="21">
        <f t="shared" si="562"/>
        <v>0</v>
      </c>
      <c r="J618" s="21">
        <f t="shared" si="563"/>
        <v>0</v>
      </c>
      <c r="K618" s="21">
        <f t="shared" si="564"/>
        <v>0</v>
      </c>
      <c r="L618" s="21">
        <v>0</v>
      </c>
      <c r="M618" s="21">
        <f t="shared" si="565"/>
        <v>0</v>
      </c>
      <c r="N618" s="35" t="s">
        <v>2417</v>
      </c>
      <c r="O618" s="39"/>
      <c r="U618" s="41">
        <f t="shared" si="566"/>
        <v>0</v>
      </c>
      <c r="W618" s="41">
        <f t="shared" si="567"/>
        <v>0</v>
      </c>
      <c r="X618" s="41">
        <f t="shared" si="568"/>
        <v>0</v>
      </c>
      <c r="Y618" s="41">
        <f t="shared" si="569"/>
        <v>0</v>
      </c>
      <c r="Z618" s="41">
        <f t="shared" si="570"/>
        <v>0</v>
      </c>
      <c r="AA618" s="41">
        <f t="shared" si="571"/>
        <v>0</v>
      </c>
      <c r="AB618" s="41">
        <f t="shared" si="572"/>
        <v>0</v>
      </c>
      <c r="AC618" s="41">
        <f t="shared" si="573"/>
        <v>0</v>
      </c>
      <c r="AD618" s="31"/>
      <c r="AE618" s="21">
        <f t="shared" si="574"/>
        <v>0</v>
      </c>
      <c r="AF618" s="21">
        <f t="shared" si="575"/>
        <v>0</v>
      </c>
      <c r="AG618" s="21">
        <f t="shared" si="576"/>
        <v>0</v>
      </c>
      <c r="AI618" s="41">
        <v>21</v>
      </c>
      <c r="AJ618" s="41">
        <f>H618*0.739669959359588</f>
        <v>0</v>
      </c>
      <c r="AK618" s="41">
        <f>H618*(1-0.739669959359588)</f>
        <v>0</v>
      </c>
      <c r="AL618" s="42" t="s">
        <v>13</v>
      </c>
      <c r="AQ618" s="41">
        <f t="shared" si="577"/>
        <v>0</v>
      </c>
      <c r="AR618" s="41">
        <f t="shared" si="578"/>
        <v>0</v>
      </c>
      <c r="AS618" s="41">
        <f t="shared" si="579"/>
        <v>0</v>
      </c>
      <c r="AT618" s="44" t="s">
        <v>2444</v>
      </c>
      <c r="AU618" s="44" t="s">
        <v>2482</v>
      </c>
      <c r="AV618" s="31" t="s">
        <v>2486</v>
      </c>
      <c r="AX618" s="41">
        <f t="shared" si="580"/>
        <v>0</v>
      </c>
      <c r="AY618" s="41">
        <f t="shared" si="581"/>
        <v>0</v>
      </c>
      <c r="AZ618" s="41">
        <v>0</v>
      </c>
      <c r="BA618" s="41">
        <f t="shared" si="582"/>
        <v>0</v>
      </c>
      <c r="BC618" s="21">
        <f t="shared" si="583"/>
        <v>0</v>
      </c>
      <c r="BD618" s="21">
        <f t="shared" si="584"/>
        <v>0</v>
      </c>
      <c r="BE618" s="21">
        <f t="shared" si="585"/>
        <v>0</v>
      </c>
      <c r="BF618" s="21" t="s">
        <v>2492</v>
      </c>
      <c r="BG618" s="41">
        <v>7669</v>
      </c>
    </row>
    <row r="619" spans="1:59" x14ac:dyDescent="0.3">
      <c r="A619" s="4" t="s">
        <v>608</v>
      </c>
      <c r="B619" s="13"/>
      <c r="C619" s="13" t="s">
        <v>1226</v>
      </c>
      <c r="D619" s="101" t="s">
        <v>2006</v>
      </c>
      <c r="E619" s="102"/>
      <c r="F619" s="13" t="s">
        <v>2391</v>
      </c>
      <c r="G619" s="21">
        <v>1</v>
      </c>
      <c r="H619" s="21">
        <v>0</v>
      </c>
      <c r="I619" s="21">
        <f t="shared" si="562"/>
        <v>0</v>
      </c>
      <c r="J619" s="21">
        <f t="shared" si="563"/>
        <v>0</v>
      </c>
      <c r="K619" s="21">
        <f t="shared" si="564"/>
        <v>0</v>
      </c>
      <c r="L619" s="21">
        <v>0</v>
      </c>
      <c r="M619" s="21">
        <f t="shared" si="565"/>
        <v>0</v>
      </c>
      <c r="N619" s="35" t="s">
        <v>2417</v>
      </c>
      <c r="O619" s="39"/>
      <c r="U619" s="41">
        <f t="shared" si="566"/>
        <v>0</v>
      </c>
      <c r="W619" s="41">
        <f t="shared" si="567"/>
        <v>0</v>
      </c>
      <c r="X619" s="41">
        <f t="shared" si="568"/>
        <v>0</v>
      </c>
      <c r="Y619" s="41">
        <f t="shared" si="569"/>
        <v>0</v>
      </c>
      <c r="Z619" s="41">
        <f t="shared" si="570"/>
        <v>0</v>
      </c>
      <c r="AA619" s="41">
        <f t="shared" si="571"/>
        <v>0</v>
      </c>
      <c r="AB619" s="41">
        <f t="shared" si="572"/>
        <v>0</v>
      </c>
      <c r="AC619" s="41">
        <f t="shared" si="573"/>
        <v>0</v>
      </c>
      <c r="AD619" s="31"/>
      <c r="AE619" s="21">
        <f t="shared" si="574"/>
        <v>0</v>
      </c>
      <c r="AF619" s="21">
        <f t="shared" si="575"/>
        <v>0</v>
      </c>
      <c r="AG619" s="21">
        <f t="shared" si="576"/>
        <v>0</v>
      </c>
      <c r="AI619" s="41">
        <v>21</v>
      </c>
      <c r="AJ619" s="41">
        <f>H619*0.82944924287646</f>
        <v>0</v>
      </c>
      <c r="AK619" s="41">
        <f>H619*(1-0.82944924287646)</f>
        <v>0</v>
      </c>
      <c r="AL619" s="42" t="s">
        <v>13</v>
      </c>
      <c r="AQ619" s="41">
        <f t="shared" si="577"/>
        <v>0</v>
      </c>
      <c r="AR619" s="41">
        <f t="shared" si="578"/>
        <v>0</v>
      </c>
      <c r="AS619" s="41">
        <f t="shared" si="579"/>
        <v>0</v>
      </c>
      <c r="AT619" s="44" t="s">
        <v>2444</v>
      </c>
      <c r="AU619" s="44" t="s">
        <v>2482</v>
      </c>
      <c r="AV619" s="31" t="s">
        <v>2486</v>
      </c>
      <c r="AX619" s="41">
        <f t="shared" si="580"/>
        <v>0</v>
      </c>
      <c r="AY619" s="41">
        <f t="shared" si="581"/>
        <v>0</v>
      </c>
      <c r="AZ619" s="41">
        <v>0</v>
      </c>
      <c r="BA619" s="41">
        <f t="shared" si="582"/>
        <v>0</v>
      </c>
      <c r="BC619" s="21">
        <f t="shared" si="583"/>
        <v>0</v>
      </c>
      <c r="BD619" s="21">
        <f t="shared" si="584"/>
        <v>0</v>
      </c>
      <c r="BE619" s="21">
        <f t="shared" si="585"/>
        <v>0</v>
      </c>
      <c r="BF619" s="21" t="s">
        <v>2492</v>
      </c>
      <c r="BG619" s="41">
        <v>7669</v>
      </c>
    </row>
    <row r="620" spans="1:59" x14ac:dyDescent="0.3">
      <c r="A620" s="4" t="s">
        <v>609</v>
      </c>
      <c r="B620" s="13"/>
      <c r="C620" s="13" t="s">
        <v>1227</v>
      </c>
      <c r="D620" s="101" t="s">
        <v>2007</v>
      </c>
      <c r="E620" s="102"/>
      <c r="F620" s="13" t="s">
        <v>2391</v>
      </c>
      <c r="G620" s="21">
        <v>1</v>
      </c>
      <c r="H620" s="21">
        <v>0</v>
      </c>
      <c r="I620" s="21">
        <f t="shared" si="562"/>
        <v>0</v>
      </c>
      <c r="J620" s="21">
        <f t="shared" si="563"/>
        <v>0</v>
      </c>
      <c r="K620" s="21">
        <f t="shared" si="564"/>
        <v>0</v>
      </c>
      <c r="L620" s="21">
        <v>0</v>
      </c>
      <c r="M620" s="21">
        <f t="shared" si="565"/>
        <v>0</v>
      </c>
      <c r="N620" s="35" t="s">
        <v>2417</v>
      </c>
      <c r="O620" s="39"/>
      <c r="U620" s="41">
        <f t="shared" si="566"/>
        <v>0</v>
      </c>
      <c r="W620" s="41">
        <f t="shared" si="567"/>
        <v>0</v>
      </c>
      <c r="X620" s="41">
        <f t="shared" si="568"/>
        <v>0</v>
      </c>
      <c r="Y620" s="41">
        <f t="shared" si="569"/>
        <v>0</v>
      </c>
      <c r="Z620" s="41">
        <f t="shared" si="570"/>
        <v>0</v>
      </c>
      <c r="AA620" s="41">
        <f t="shared" si="571"/>
        <v>0</v>
      </c>
      <c r="AB620" s="41">
        <f t="shared" si="572"/>
        <v>0</v>
      </c>
      <c r="AC620" s="41">
        <f t="shared" si="573"/>
        <v>0</v>
      </c>
      <c r="AD620" s="31"/>
      <c r="AE620" s="21">
        <f t="shared" si="574"/>
        <v>0</v>
      </c>
      <c r="AF620" s="21">
        <f t="shared" si="575"/>
        <v>0</v>
      </c>
      <c r="AG620" s="21">
        <f t="shared" si="576"/>
        <v>0</v>
      </c>
      <c r="AI620" s="41">
        <v>21</v>
      </c>
      <c r="AJ620" s="41">
        <f>H620*0.715934921515634</f>
        <v>0</v>
      </c>
      <c r="AK620" s="41">
        <f>H620*(1-0.715934921515634)</f>
        <v>0</v>
      </c>
      <c r="AL620" s="42" t="s">
        <v>13</v>
      </c>
      <c r="AQ620" s="41">
        <f t="shared" si="577"/>
        <v>0</v>
      </c>
      <c r="AR620" s="41">
        <f t="shared" si="578"/>
        <v>0</v>
      </c>
      <c r="AS620" s="41">
        <f t="shared" si="579"/>
        <v>0</v>
      </c>
      <c r="AT620" s="44" t="s">
        <v>2444</v>
      </c>
      <c r="AU620" s="44" t="s">
        <v>2482</v>
      </c>
      <c r="AV620" s="31" t="s">
        <v>2486</v>
      </c>
      <c r="AX620" s="41">
        <f t="shared" si="580"/>
        <v>0</v>
      </c>
      <c r="AY620" s="41">
        <f t="shared" si="581"/>
        <v>0</v>
      </c>
      <c r="AZ620" s="41">
        <v>0</v>
      </c>
      <c r="BA620" s="41">
        <f t="shared" si="582"/>
        <v>0</v>
      </c>
      <c r="BC620" s="21">
        <f t="shared" si="583"/>
        <v>0</v>
      </c>
      <c r="BD620" s="21">
        <f t="shared" si="584"/>
        <v>0</v>
      </c>
      <c r="BE620" s="21">
        <f t="shared" si="585"/>
        <v>0</v>
      </c>
      <c r="BF620" s="21" t="s">
        <v>2492</v>
      </c>
      <c r="BG620" s="41">
        <v>7669</v>
      </c>
    </row>
    <row r="621" spans="1:59" x14ac:dyDescent="0.3">
      <c r="A621" s="4" t="s">
        <v>610</v>
      </c>
      <c r="B621" s="13"/>
      <c r="C621" s="13" t="s">
        <v>1228</v>
      </c>
      <c r="D621" s="101" t="s">
        <v>2008</v>
      </c>
      <c r="E621" s="102"/>
      <c r="F621" s="13" t="s">
        <v>2391</v>
      </c>
      <c r="G621" s="21">
        <v>1</v>
      </c>
      <c r="H621" s="21">
        <v>0</v>
      </c>
      <c r="I621" s="21">
        <f t="shared" si="562"/>
        <v>0</v>
      </c>
      <c r="J621" s="21">
        <f t="shared" si="563"/>
        <v>0</v>
      </c>
      <c r="K621" s="21">
        <f t="shared" si="564"/>
        <v>0</v>
      </c>
      <c r="L621" s="21">
        <v>0</v>
      </c>
      <c r="M621" s="21">
        <f t="shared" si="565"/>
        <v>0</v>
      </c>
      <c r="N621" s="35" t="s">
        <v>2417</v>
      </c>
      <c r="O621" s="39"/>
      <c r="U621" s="41">
        <f t="shared" si="566"/>
        <v>0</v>
      </c>
      <c r="W621" s="41">
        <f t="shared" si="567"/>
        <v>0</v>
      </c>
      <c r="X621" s="41">
        <f t="shared" si="568"/>
        <v>0</v>
      </c>
      <c r="Y621" s="41">
        <f t="shared" si="569"/>
        <v>0</v>
      </c>
      <c r="Z621" s="41">
        <f t="shared" si="570"/>
        <v>0</v>
      </c>
      <c r="AA621" s="41">
        <f t="shared" si="571"/>
        <v>0</v>
      </c>
      <c r="AB621" s="41">
        <f t="shared" si="572"/>
        <v>0</v>
      </c>
      <c r="AC621" s="41">
        <f t="shared" si="573"/>
        <v>0</v>
      </c>
      <c r="AD621" s="31"/>
      <c r="AE621" s="21">
        <f t="shared" si="574"/>
        <v>0</v>
      </c>
      <c r="AF621" s="21">
        <f t="shared" si="575"/>
        <v>0</v>
      </c>
      <c r="AG621" s="21">
        <f t="shared" si="576"/>
        <v>0</v>
      </c>
      <c r="AI621" s="41">
        <v>21</v>
      </c>
      <c r="AJ621" s="41">
        <f>H621*0.847744332282769</f>
        <v>0</v>
      </c>
      <c r="AK621" s="41">
        <f>H621*(1-0.847744332282769)</f>
        <v>0</v>
      </c>
      <c r="AL621" s="42" t="s">
        <v>13</v>
      </c>
      <c r="AQ621" s="41">
        <f t="shared" si="577"/>
        <v>0</v>
      </c>
      <c r="AR621" s="41">
        <f t="shared" si="578"/>
        <v>0</v>
      </c>
      <c r="AS621" s="41">
        <f t="shared" si="579"/>
        <v>0</v>
      </c>
      <c r="AT621" s="44" t="s">
        <v>2444</v>
      </c>
      <c r="AU621" s="44" t="s">
        <v>2482</v>
      </c>
      <c r="AV621" s="31" t="s">
        <v>2486</v>
      </c>
      <c r="AX621" s="41">
        <f t="shared" si="580"/>
        <v>0</v>
      </c>
      <c r="AY621" s="41">
        <f t="shared" si="581"/>
        <v>0</v>
      </c>
      <c r="AZ621" s="41">
        <v>0</v>
      </c>
      <c r="BA621" s="41">
        <f t="shared" si="582"/>
        <v>0</v>
      </c>
      <c r="BC621" s="21">
        <f t="shared" si="583"/>
        <v>0</v>
      </c>
      <c r="BD621" s="21">
        <f t="shared" si="584"/>
        <v>0</v>
      </c>
      <c r="BE621" s="21">
        <f t="shared" si="585"/>
        <v>0</v>
      </c>
      <c r="BF621" s="21" t="s">
        <v>2492</v>
      </c>
      <c r="BG621" s="41">
        <v>7669</v>
      </c>
    </row>
    <row r="622" spans="1:59" x14ac:dyDescent="0.3">
      <c r="A622" s="4" t="s">
        <v>611</v>
      </c>
      <c r="B622" s="13"/>
      <c r="C622" s="13" t="s">
        <v>1229</v>
      </c>
      <c r="D622" s="101" t="s">
        <v>2009</v>
      </c>
      <c r="E622" s="102"/>
      <c r="F622" s="13" t="s">
        <v>2391</v>
      </c>
      <c r="G622" s="21">
        <v>1</v>
      </c>
      <c r="H622" s="21">
        <v>0</v>
      </c>
      <c r="I622" s="21">
        <f t="shared" si="562"/>
        <v>0</v>
      </c>
      <c r="J622" s="21">
        <f t="shared" si="563"/>
        <v>0</v>
      </c>
      <c r="K622" s="21">
        <f t="shared" si="564"/>
        <v>0</v>
      </c>
      <c r="L622" s="21">
        <v>0</v>
      </c>
      <c r="M622" s="21">
        <f t="shared" si="565"/>
        <v>0</v>
      </c>
      <c r="N622" s="35" t="s">
        <v>2417</v>
      </c>
      <c r="O622" s="39"/>
      <c r="U622" s="41">
        <f t="shared" si="566"/>
        <v>0</v>
      </c>
      <c r="W622" s="41">
        <f t="shared" si="567"/>
        <v>0</v>
      </c>
      <c r="X622" s="41">
        <f t="shared" si="568"/>
        <v>0</v>
      </c>
      <c r="Y622" s="41">
        <f t="shared" si="569"/>
        <v>0</v>
      </c>
      <c r="Z622" s="41">
        <f t="shared" si="570"/>
        <v>0</v>
      </c>
      <c r="AA622" s="41">
        <f t="shared" si="571"/>
        <v>0</v>
      </c>
      <c r="AB622" s="41">
        <f t="shared" si="572"/>
        <v>0</v>
      </c>
      <c r="AC622" s="41">
        <f t="shared" si="573"/>
        <v>0</v>
      </c>
      <c r="AD622" s="31"/>
      <c r="AE622" s="21">
        <f t="shared" si="574"/>
        <v>0</v>
      </c>
      <c r="AF622" s="21">
        <f t="shared" si="575"/>
        <v>0</v>
      </c>
      <c r="AG622" s="21">
        <f t="shared" si="576"/>
        <v>0</v>
      </c>
      <c r="AI622" s="41">
        <v>21</v>
      </c>
      <c r="AJ622" s="41">
        <f>H622*0.807046656118551</f>
        <v>0</v>
      </c>
      <c r="AK622" s="41">
        <f>H622*(1-0.807046656118551)</f>
        <v>0</v>
      </c>
      <c r="AL622" s="42" t="s">
        <v>13</v>
      </c>
      <c r="AQ622" s="41">
        <f t="shared" si="577"/>
        <v>0</v>
      </c>
      <c r="AR622" s="41">
        <f t="shared" si="578"/>
        <v>0</v>
      </c>
      <c r="AS622" s="41">
        <f t="shared" si="579"/>
        <v>0</v>
      </c>
      <c r="AT622" s="44" t="s">
        <v>2444</v>
      </c>
      <c r="AU622" s="44" t="s">
        <v>2482</v>
      </c>
      <c r="AV622" s="31" t="s">
        <v>2486</v>
      </c>
      <c r="AX622" s="41">
        <f t="shared" si="580"/>
        <v>0</v>
      </c>
      <c r="AY622" s="41">
        <f t="shared" si="581"/>
        <v>0</v>
      </c>
      <c r="AZ622" s="41">
        <v>0</v>
      </c>
      <c r="BA622" s="41">
        <f t="shared" si="582"/>
        <v>0</v>
      </c>
      <c r="BC622" s="21">
        <f t="shared" si="583"/>
        <v>0</v>
      </c>
      <c r="BD622" s="21">
        <f t="shared" si="584"/>
        <v>0</v>
      </c>
      <c r="BE622" s="21">
        <f t="shared" si="585"/>
        <v>0</v>
      </c>
      <c r="BF622" s="21" t="s">
        <v>2492</v>
      </c>
      <c r="BG622" s="41">
        <v>7669</v>
      </c>
    </row>
    <row r="623" spans="1:59" x14ac:dyDescent="0.3">
      <c r="A623" s="4" t="s">
        <v>612</v>
      </c>
      <c r="B623" s="13"/>
      <c r="C623" s="13" t="s">
        <v>1230</v>
      </c>
      <c r="D623" s="101" t="s">
        <v>2010</v>
      </c>
      <c r="E623" s="102"/>
      <c r="F623" s="13" t="s">
        <v>2391</v>
      </c>
      <c r="G623" s="21">
        <v>1</v>
      </c>
      <c r="H623" s="21">
        <v>0</v>
      </c>
      <c r="I623" s="21">
        <f t="shared" si="562"/>
        <v>0</v>
      </c>
      <c r="J623" s="21">
        <f t="shared" si="563"/>
        <v>0</v>
      </c>
      <c r="K623" s="21">
        <f t="shared" si="564"/>
        <v>0</v>
      </c>
      <c r="L623" s="21">
        <v>0</v>
      </c>
      <c r="M623" s="21">
        <f t="shared" si="565"/>
        <v>0</v>
      </c>
      <c r="N623" s="35" t="s">
        <v>2417</v>
      </c>
      <c r="O623" s="39"/>
      <c r="U623" s="41">
        <f t="shared" si="566"/>
        <v>0</v>
      </c>
      <c r="W623" s="41">
        <f t="shared" si="567"/>
        <v>0</v>
      </c>
      <c r="X623" s="41">
        <f t="shared" si="568"/>
        <v>0</v>
      </c>
      <c r="Y623" s="41">
        <f t="shared" si="569"/>
        <v>0</v>
      </c>
      <c r="Z623" s="41">
        <f t="shared" si="570"/>
        <v>0</v>
      </c>
      <c r="AA623" s="41">
        <f t="shared" si="571"/>
        <v>0</v>
      </c>
      <c r="AB623" s="41">
        <f t="shared" si="572"/>
        <v>0</v>
      </c>
      <c r="AC623" s="41">
        <f t="shared" si="573"/>
        <v>0</v>
      </c>
      <c r="AD623" s="31"/>
      <c r="AE623" s="21">
        <f t="shared" si="574"/>
        <v>0</v>
      </c>
      <c r="AF623" s="21">
        <f t="shared" si="575"/>
        <v>0</v>
      </c>
      <c r="AG623" s="21">
        <f t="shared" si="576"/>
        <v>0</v>
      </c>
      <c r="AI623" s="41">
        <v>21</v>
      </c>
      <c r="AJ623" s="41">
        <f>H623*0.847744332282769</f>
        <v>0</v>
      </c>
      <c r="AK623" s="41">
        <f>H623*(1-0.847744332282769)</f>
        <v>0</v>
      </c>
      <c r="AL623" s="42" t="s">
        <v>13</v>
      </c>
      <c r="AQ623" s="41">
        <f t="shared" si="577"/>
        <v>0</v>
      </c>
      <c r="AR623" s="41">
        <f t="shared" si="578"/>
        <v>0</v>
      </c>
      <c r="AS623" s="41">
        <f t="shared" si="579"/>
        <v>0</v>
      </c>
      <c r="AT623" s="44" t="s">
        <v>2444</v>
      </c>
      <c r="AU623" s="44" t="s">
        <v>2482</v>
      </c>
      <c r="AV623" s="31" t="s">
        <v>2486</v>
      </c>
      <c r="AX623" s="41">
        <f t="shared" si="580"/>
        <v>0</v>
      </c>
      <c r="AY623" s="41">
        <f t="shared" si="581"/>
        <v>0</v>
      </c>
      <c r="AZ623" s="41">
        <v>0</v>
      </c>
      <c r="BA623" s="41">
        <f t="shared" si="582"/>
        <v>0</v>
      </c>
      <c r="BC623" s="21">
        <f t="shared" si="583"/>
        <v>0</v>
      </c>
      <c r="BD623" s="21">
        <f t="shared" si="584"/>
        <v>0</v>
      </c>
      <c r="BE623" s="21">
        <f t="shared" si="585"/>
        <v>0</v>
      </c>
      <c r="BF623" s="21" t="s">
        <v>2492</v>
      </c>
      <c r="BG623" s="41">
        <v>7669</v>
      </c>
    </row>
    <row r="624" spans="1:59" x14ac:dyDescent="0.3">
      <c r="A624" s="4" t="s">
        <v>613</v>
      </c>
      <c r="B624" s="13"/>
      <c r="C624" s="13" t="s">
        <v>1231</v>
      </c>
      <c r="D624" s="101" t="s">
        <v>2011</v>
      </c>
      <c r="E624" s="102"/>
      <c r="F624" s="13" t="s">
        <v>2391</v>
      </c>
      <c r="G624" s="21">
        <v>1</v>
      </c>
      <c r="H624" s="21">
        <v>0</v>
      </c>
      <c r="I624" s="21">
        <f t="shared" si="562"/>
        <v>0</v>
      </c>
      <c r="J624" s="21">
        <f t="shared" si="563"/>
        <v>0</v>
      </c>
      <c r="K624" s="21">
        <f t="shared" si="564"/>
        <v>0</v>
      </c>
      <c r="L624" s="21">
        <v>0</v>
      </c>
      <c r="M624" s="21">
        <f t="shared" si="565"/>
        <v>0</v>
      </c>
      <c r="N624" s="35" t="s">
        <v>2417</v>
      </c>
      <c r="O624" s="39"/>
      <c r="U624" s="41">
        <f t="shared" si="566"/>
        <v>0</v>
      </c>
      <c r="W624" s="41">
        <f t="shared" si="567"/>
        <v>0</v>
      </c>
      <c r="X624" s="41">
        <f t="shared" si="568"/>
        <v>0</v>
      </c>
      <c r="Y624" s="41">
        <f t="shared" si="569"/>
        <v>0</v>
      </c>
      <c r="Z624" s="41">
        <f t="shared" si="570"/>
        <v>0</v>
      </c>
      <c r="AA624" s="41">
        <f t="shared" si="571"/>
        <v>0</v>
      </c>
      <c r="AB624" s="41">
        <f t="shared" si="572"/>
        <v>0</v>
      </c>
      <c r="AC624" s="41">
        <f t="shared" si="573"/>
        <v>0</v>
      </c>
      <c r="AD624" s="31"/>
      <c r="AE624" s="21">
        <f t="shared" si="574"/>
        <v>0</v>
      </c>
      <c r="AF624" s="21">
        <f t="shared" si="575"/>
        <v>0</v>
      </c>
      <c r="AG624" s="21">
        <f t="shared" si="576"/>
        <v>0</v>
      </c>
      <c r="AI624" s="41">
        <v>21</v>
      </c>
      <c r="AJ624" s="41">
        <f>H624*0.807046656118551</f>
        <v>0</v>
      </c>
      <c r="AK624" s="41">
        <f>H624*(1-0.807046656118551)</f>
        <v>0</v>
      </c>
      <c r="AL624" s="42" t="s">
        <v>13</v>
      </c>
      <c r="AQ624" s="41">
        <f t="shared" si="577"/>
        <v>0</v>
      </c>
      <c r="AR624" s="41">
        <f t="shared" si="578"/>
        <v>0</v>
      </c>
      <c r="AS624" s="41">
        <f t="shared" si="579"/>
        <v>0</v>
      </c>
      <c r="AT624" s="44" t="s">
        <v>2444</v>
      </c>
      <c r="AU624" s="44" t="s">
        <v>2482</v>
      </c>
      <c r="AV624" s="31" t="s">
        <v>2486</v>
      </c>
      <c r="AX624" s="41">
        <f t="shared" si="580"/>
        <v>0</v>
      </c>
      <c r="AY624" s="41">
        <f t="shared" si="581"/>
        <v>0</v>
      </c>
      <c r="AZ624" s="41">
        <v>0</v>
      </c>
      <c r="BA624" s="41">
        <f t="shared" si="582"/>
        <v>0</v>
      </c>
      <c r="BC624" s="21">
        <f t="shared" si="583"/>
        <v>0</v>
      </c>
      <c r="BD624" s="21">
        <f t="shared" si="584"/>
        <v>0</v>
      </c>
      <c r="BE624" s="21">
        <f t="shared" si="585"/>
        <v>0</v>
      </c>
      <c r="BF624" s="21" t="s">
        <v>2492</v>
      </c>
      <c r="BG624" s="41">
        <v>7669</v>
      </c>
    </row>
    <row r="625" spans="1:59" x14ac:dyDescent="0.3">
      <c r="A625" s="4" t="s">
        <v>614</v>
      </c>
      <c r="B625" s="13"/>
      <c r="C625" s="13" t="s">
        <v>1232</v>
      </c>
      <c r="D625" s="101" t="s">
        <v>2012</v>
      </c>
      <c r="E625" s="102"/>
      <c r="F625" s="13" t="s">
        <v>2391</v>
      </c>
      <c r="G625" s="21">
        <v>1</v>
      </c>
      <c r="H625" s="21">
        <v>0</v>
      </c>
      <c r="I625" s="21">
        <f t="shared" si="562"/>
        <v>0</v>
      </c>
      <c r="J625" s="21">
        <f t="shared" si="563"/>
        <v>0</v>
      </c>
      <c r="K625" s="21">
        <f t="shared" si="564"/>
        <v>0</v>
      </c>
      <c r="L625" s="21">
        <v>0</v>
      </c>
      <c r="M625" s="21">
        <f t="shared" si="565"/>
        <v>0</v>
      </c>
      <c r="N625" s="35" t="s">
        <v>2417</v>
      </c>
      <c r="O625" s="39"/>
      <c r="U625" s="41">
        <f t="shared" si="566"/>
        <v>0</v>
      </c>
      <c r="W625" s="41">
        <f t="shared" si="567"/>
        <v>0</v>
      </c>
      <c r="X625" s="41">
        <f t="shared" si="568"/>
        <v>0</v>
      </c>
      <c r="Y625" s="41">
        <f t="shared" si="569"/>
        <v>0</v>
      </c>
      <c r="Z625" s="41">
        <f t="shared" si="570"/>
        <v>0</v>
      </c>
      <c r="AA625" s="41">
        <f t="shared" si="571"/>
        <v>0</v>
      </c>
      <c r="AB625" s="41">
        <f t="shared" si="572"/>
        <v>0</v>
      </c>
      <c r="AC625" s="41">
        <f t="shared" si="573"/>
        <v>0</v>
      </c>
      <c r="AD625" s="31"/>
      <c r="AE625" s="21">
        <f t="shared" si="574"/>
        <v>0</v>
      </c>
      <c r="AF625" s="21">
        <f t="shared" si="575"/>
        <v>0</v>
      </c>
      <c r="AG625" s="21">
        <f t="shared" si="576"/>
        <v>0</v>
      </c>
      <c r="AI625" s="41">
        <v>21</v>
      </c>
      <c r="AJ625" s="41">
        <f>H625*0.671172816952868</f>
        <v>0</v>
      </c>
      <c r="AK625" s="41">
        <f>H625*(1-0.671172816952868)</f>
        <v>0</v>
      </c>
      <c r="AL625" s="42" t="s">
        <v>13</v>
      </c>
      <c r="AQ625" s="41">
        <f t="shared" si="577"/>
        <v>0</v>
      </c>
      <c r="AR625" s="41">
        <f t="shared" si="578"/>
        <v>0</v>
      </c>
      <c r="AS625" s="41">
        <f t="shared" si="579"/>
        <v>0</v>
      </c>
      <c r="AT625" s="44" t="s">
        <v>2444</v>
      </c>
      <c r="AU625" s="44" t="s">
        <v>2482</v>
      </c>
      <c r="AV625" s="31" t="s">
        <v>2486</v>
      </c>
      <c r="AX625" s="41">
        <f t="shared" si="580"/>
        <v>0</v>
      </c>
      <c r="AY625" s="41">
        <f t="shared" si="581"/>
        <v>0</v>
      </c>
      <c r="AZ625" s="41">
        <v>0</v>
      </c>
      <c r="BA625" s="41">
        <f t="shared" si="582"/>
        <v>0</v>
      </c>
      <c r="BC625" s="21">
        <f t="shared" si="583"/>
        <v>0</v>
      </c>
      <c r="BD625" s="21">
        <f t="shared" si="584"/>
        <v>0</v>
      </c>
      <c r="BE625" s="21">
        <f t="shared" si="585"/>
        <v>0</v>
      </c>
      <c r="BF625" s="21" t="s">
        <v>2492</v>
      </c>
      <c r="BG625" s="41">
        <v>7669</v>
      </c>
    </row>
    <row r="626" spans="1:59" x14ac:dyDescent="0.3">
      <c r="A626" s="4" t="s">
        <v>615</v>
      </c>
      <c r="B626" s="13"/>
      <c r="C626" s="13" t="s">
        <v>1233</v>
      </c>
      <c r="D626" s="101" t="s">
        <v>2013</v>
      </c>
      <c r="E626" s="102"/>
      <c r="F626" s="13" t="s">
        <v>2391</v>
      </c>
      <c r="G626" s="21">
        <v>1</v>
      </c>
      <c r="H626" s="21">
        <v>0</v>
      </c>
      <c r="I626" s="21">
        <f t="shared" si="562"/>
        <v>0</v>
      </c>
      <c r="J626" s="21">
        <f t="shared" si="563"/>
        <v>0</v>
      </c>
      <c r="K626" s="21">
        <f t="shared" si="564"/>
        <v>0</v>
      </c>
      <c r="L626" s="21">
        <v>0</v>
      </c>
      <c r="M626" s="21">
        <f t="shared" si="565"/>
        <v>0</v>
      </c>
      <c r="N626" s="35" t="s">
        <v>2417</v>
      </c>
      <c r="O626" s="39"/>
      <c r="U626" s="41">
        <f t="shared" si="566"/>
        <v>0</v>
      </c>
      <c r="W626" s="41">
        <f t="shared" si="567"/>
        <v>0</v>
      </c>
      <c r="X626" s="41">
        <f t="shared" si="568"/>
        <v>0</v>
      </c>
      <c r="Y626" s="41">
        <f t="shared" si="569"/>
        <v>0</v>
      </c>
      <c r="Z626" s="41">
        <f t="shared" si="570"/>
        <v>0</v>
      </c>
      <c r="AA626" s="41">
        <f t="shared" si="571"/>
        <v>0</v>
      </c>
      <c r="AB626" s="41">
        <f t="shared" si="572"/>
        <v>0</v>
      </c>
      <c r="AC626" s="41">
        <f t="shared" si="573"/>
        <v>0</v>
      </c>
      <c r="AD626" s="31"/>
      <c r="AE626" s="21">
        <f t="shared" si="574"/>
        <v>0</v>
      </c>
      <c r="AF626" s="21">
        <f t="shared" si="575"/>
        <v>0</v>
      </c>
      <c r="AG626" s="21">
        <f t="shared" si="576"/>
        <v>0</v>
      </c>
      <c r="AI626" s="41">
        <v>21</v>
      </c>
      <c r="AJ626" s="41">
        <f>H626*0.849000864594758</f>
        <v>0</v>
      </c>
      <c r="AK626" s="41">
        <f>H626*(1-0.849000864594758)</f>
        <v>0</v>
      </c>
      <c r="AL626" s="42" t="s">
        <v>13</v>
      </c>
      <c r="AQ626" s="41">
        <f t="shared" si="577"/>
        <v>0</v>
      </c>
      <c r="AR626" s="41">
        <f t="shared" si="578"/>
        <v>0</v>
      </c>
      <c r="AS626" s="41">
        <f t="shared" si="579"/>
        <v>0</v>
      </c>
      <c r="AT626" s="44" t="s">
        <v>2444</v>
      </c>
      <c r="AU626" s="44" t="s">
        <v>2482</v>
      </c>
      <c r="AV626" s="31" t="s">
        <v>2486</v>
      </c>
      <c r="AX626" s="41">
        <f t="shared" si="580"/>
        <v>0</v>
      </c>
      <c r="AY626" s="41">
        <f t="shared" si="581"/>
        <v>0</v>
      </c>
      <c r="AZ626" s="41">
        <v>0</v>
      </c>
      <c r="BA626" s="41">
        <f t="shared" si="582"/>
        <v>0</v>
      </c>
      <c r="BC626" s="21">
        <f t="shared" si="583"/>
        <v>0</v>
      </c>
      <c r="BD626" s="21">
        <f t="shared" si="584"/>
        <v>0</v>
      </c>
      <c r="BE626" s="21">
        <f t="shared" si="585"/>
        <v>0</v>
      </c>
      <c r="BF626" s="21" t="s">
        <v>2492</v>
      </c>
      <c r="BG626" s="41">
        <v>7669</v>
      </c>
    </row>
    <row r="627" spans="1:59" x14ac:dyDescent="0.3">
      <c r="A627" s="4" t="s">
        <v>616</v>
      </c>
      <c r="B627" s="13"/>
      <c r="C627" s="13" t="s">
        <v>1234</v>
      </c>
      <c r="D627" s="101" t="s">
        <v>2014</v>
      </c>
      <c r="E627" s="102"/>
      <c r="F627" s="13" t="s">
        <v>2391</v>
      </c>
      <c r="G627" s="21">
        <v>1</v>
      </c>
      <c r="H627" s="21">
        <v>0</v>
      </c>
      <c r="I627" s="21">
        <f t="shared" si="562"/>
        <v>0</v>
      </c>
      <c r="J627" s="21">
        <f t="shared" si="563"/>
        <v>0</v>
      </c>
      <c r="K627" s="21">
        <f t="shared" si="564"/>
        <v>0</v>
      </c>
      <c r="L627" s="21">
        <v>0</v>
      </c>
      <c r="M627" s="21">
        <f t="shared" si="565"/>
        <v>0</v>
      </c>
      <c r="N627" s="35" t="s">
        <v>2417</v>
      </c>
      <c r="O627" s="39"/>
      <c r="U627" s="41">
        <f t="shared" si="566"/>
        <v>0</v>
      </c>
      <c r="W627" s="41">
        <f t="shared" si="567"/>
        <v>0</v>
      </c>
      <c r="X627" s="41">
        <f t="shared" si="568"/>
        <v>0</v>
      </c>
      <c r="Y627" s="41">
        <f t="shared" si="569"/>
        <v>0</v>
      </c>
      <c r="Z627" s="41">
        <f t="shared" si="570"/>
        <v>0</v>
      </c>
      <c r="AA627" s="41">
        <f t="shared" si="571"/>
        <v>0</v>
      </c>
      <c r="AB627" s="41">
        <f t="shared" si="572"/>
        <v>0</v>
      </c>
      <c r="AC627" s="41">
        <f t="shared" si="573"/>
        <v>0</v>
      </c>
      <c r="AD627" s="31"/>
      <c r="AE627" s="21">
        <f t="shared" si="574"/>
        <v>0</v>
      </c>
      <c r="AF627" s="21">
        <f t="shared" si="575"/>
        <v>0</v>
      </c>
      <c r="AG627" s="21">
        <f t="shared" si="576"/>
        <v>0</v>
      </c>
      <c r="AI627" s="41">
        <v>21</v>
      </c>
      <c r="AJ627" s="41">
        <f>H627*0.833396440742143</f>
        <v>0</v>
      </c>
      <c r="AK627" s="41">
        <f>H627*(1-0.833396440742143)</f>
        <v>0</v>
      </c>
      <c r="AL627" s="42" t="s">
        <v>13</v>
      </c>
      <c r="AQ627" s="41">
        <f t="shared" si="577"/>
        <v>0</v>
      </c>
      <c r="AR627" s="41">
        <f t="shared" si="578"/>
        <v>0</v>
      </c>
      <c r="AS627" s="41">
        <f t="shared" si="579"/>
        <v>0</v>
      </c>
      <c r="AT627" s="44" t="s">
        <v>2444</v>
      </c>
      <c r="AU627" s="44" t="s">
        <v>2482</v>
      </c>
      <c r="AV627" s="31" t="s">
        <v>2486</v>
      </c>
      <c r="AX627" s="41">
        <f t="shared" si="580"/>
        <v>0</v>
      </c>
      <c r="AY627" s="41">
        <f t="shared" si="581"/>
        <v>0</v>
      </c>
      <c r="AZ627" s="41">
        <v>0</v>
      </c>
      <c r="BA627" s="41">
        <f t="shared" si="582"/>
        <v>0</v>
      </c>
      <c r="BC627" s="21">
        <f t="shared" si="583"/>
        <v>0</v>
      </c>
      <c r="BD627" s="21">
        <f t="shared" si="584"/>
        <v>0</v>
      </c>
      <c r="BE627" s="21">
        <f t="shared" si="585"/>
        <v>0</v>
      </c>
      <c r="BF627" s="21" t="s">
        <v>2492</v>
      </c>
      <c r="BG627" s="41">
        <v>7669</v>
      </c>
    </row>
    <row r="628" spans="1:59" x14ac:dyDescent="0.3">
      <c r="A628" s="4" t="s">
        <v>617</v>
      </c>
      <c r="B628" s="13"/>
      <c r="C628" s="13" t="s">
        <v>1235</v>
      </c>
      <c r="D628" s="101" t="s">
        <v>2015</v>
      </c>
      <c r="E628" s="102"/>
      <c r="F628" s="13" t="s">
        <v>2391</v>
      </c>
      <c r="G628" s="21">
        <v>23</v>
      </c>
      <c r="H628" s="21">
        <v>0</v>
      </c>
      <c r="I628" s="21">
        <f t="shared" si="562"/>
        <v>0</v>
      </c>
      <c r="J628" s="21">
        <f t="shared" si="563"/>
        <v>0</v>
      </c>
      <c r="K628" s="21">
        <f t="shared" si="564"/>
        <v>0</v>
      </c>
      <c r="L628" s="21">
        <v>0</v>
      </c>
      <c r="M628" s="21">
        <f t="shared" si="565"/>
        <v>0</v>
      </c>
      <c r="N628" s="35" t="s">
        <v>2417</v>
      </c>
      <c r="O628" s="39"/>
      <c r="U628" s="41">
        <f t="shared" si="566"/>
        <v>0</v>
      </c>
      <c r="W628" s="41">
        <f t="shared" si="567"/>
        <v>0</v>
      </c>
      <c r="X628" s="41">
        <f t="shared" si="568"/>
        <v>0</v>
      </c>
      <c r="Y628" s="41">
        <f t="shared" si="569"/>
        <v>0</v>
      </c>
      <c r="Z628" s="41">
        <f t="shared" si="570"/>
        <v>0</v>
      </c>
      <c r="AA628" s="41">
        <f t="shared" si="571"/>
        <v>0</v>
      </c>
      <c r="AB628" s="41">
        <f t="shared" si="572"/>
        <v>0</v>
      </c>
      <c r="AC628" s="41">
        <f t="shared" si="573"/>
        <v>0</v>
      </c>
      <c r="AD628" s="31"/>
      <c r="AE628" s="21">
        <f t="shared" si="574"/>
        <v>0</v>
      </c>
      <c r="AF628" s="21">
        <f t="shared" si="575"/>
        <v>0</v>
      </c>
      <c r="AG628" s="21">
        <f t="shared" si="576"/>
        <v>0</v>
      </c>
      <c r="AI628" s="41">
        <v>21</v>
      </c>
      <c r="AJ628" s="41">
        <f>H628*0.771510174937522</f>
        <v>0</v>
      </c>
      <c r="AK628" s="41">
        <f>H628*(1-0.771510174937522)</f>
        <v>0</v>
      </c>
      <c r="AL628" s="42" t="s">
        <v>13</v>
      </c>
      <c r="AQ628" s="41">
        <f t="shared" si="577"/>
        <v>0</v>
      </c>
      <c r="AR628" s="41">
        <f t="shared" si="578"/>
        <v>0</v>
      </c>
      <c r="AS628" s="41">
        <f t="shared" si="579"/>
        <v>0</v>
      </c>
      <c r="AT628" s="44" t="s">
        <v>2444</v>
      </c>
      <c r="AU628" s="44" t="s">
        <v>2482</v>
      </c>
      <c r="AV628" s="31" t="s">
        <v>2486</v>
      </c>
      <c r="AX628" s="41">
        <f t="shared" si="580"/>
        <v>0</v>
      </c>
      <c r="AY628" s="41">
        <f t="shared" si="581"/>
        <v>0</v>
      </c>
      <c r="AZ628" s="41">
        <v>0</v>
      </c>
      <c r="BA628" s="41">
        <f t="shared" si="582"/>
        <v>0</v>
      </c>
      <c r="BC628" s="21">
        <f t="shared" si="583"/>
        <v>0</v>
      </c>
      <c r="BD628" s="21">
        <f t="shared" si="584"/>
        <v>0</v>
      </c>
      <c r="BE628" s="21">
        <f t="shared" si="585"/>
        <v>0</v>
      </c>
      <c r="BF628" s="21" t="s">
        <v>2492</v>
      </c>
      <c r="BG628" s="41">
        <v>7669</v>
      </c>
    </row>
    <row r="629" spans="1:59" x14ac:dyDescent="0.3">
      <c r="A629" s="4" t="s">
        <v>618</v>
      </c>
      <c r="B629" s="13"/>
      <c r="C629" s="13" t="s">
        <v>1236</v>
      </c>
      <c r="D629" s="101" t="s">
        <v>2016</v>
      </c>
      <c r="E629" s="102"/>
      <c r="F629" s="13" t="s">
        <v>2391</v>
      </c>
      <c r="G629" s="21">
        <v>2</v>
      </c>
      <c r="H629" s="21">
        <v>0</v>
      </c>
      <c r="I629" s="21">
        <f t="shared" si="562"/>
        <v>0</v>
      </c>
      <c r="J629" s="21">
        <f t="shared" si="563"/>
        <v>0</v>
      </c>
      <c r="K629" s="21">
        <f t="shared" si="564"/>
        <v>0</v>
      </c>
      <c r="L629" s="21">
        <v>0</v>
      </c>
      <c r="M629" s="21">
        <f t="shared" si="565"/>
        <v>0</v>
      </c>
      <c r="N629" s="35" t="s">
        <v>2417</v>
      </c>
      <c r="O629" s="39"/>
      <c r="U629" s="41">
        <f t="shared" si="566"/>
        <v>0</v>
      </c>
      <c r="W629" s="41">
        <f t="shared" si="567"/>
        <v>0</v>
      </c>
      <c r="X629" s="41">
        <f t="shared" si="568"/>
        <v>0</v>
      </c>
      <c r="Y629" s="41">
        <f t="shared" si="569"/>
        <v>0</v>
      </c>
      <c r="Z629" s="41">
        <f t="shared" si="570"/>
        <v>0</v>
      </c>
      <c r="AA629" s="41">
        <f t="shared" si="571"/>
        <v>0</v>
      </c>
      <c r="AB629" s="41">
        <f t="shared" si="572"/>
        <v>0</v>
      </c>
      <c r="AC629" s="41">
        <f t="shared" si="573"/>
        <v>0</v>
      </c>
      <c r="AD629" s="31"/>
      <c r="AE629" s="21">
        <f t="shared" si="574"/>
        <v>0</v>
      </c>
      <c r="AF629" s="21">
        <f t="shared" si="575"/>
        <v>0</v>
      </c>
      <c r="AG629" s="21">
        <f t="shared" si="576"/>
        <v>0</v>
      </c>
      <c r="AI629" s="41">
        <v>21</v>
      </c>
      <c r="AJ629" s="41">
        <f>H629*0.79960019990005</f>
        <v>0</v>
      </c>
      <c r="AK629" s="41">
        <f>H629*(1-0.79960019990005)</f>
        <v>0</v>
      </c>
      <c r="AL629" s="42" t="s">
        <v>13</v>
      </c>
      <c r="AQ629" s="41">
        <f t="shared" si="577"/>
        <v>0</v>
      </c>
      <c r="AR629" s="41">
        <f t="shared" si="578"/>
        <v>0</v>
      </c>
      <c r="AS629" s="41">
        <f t="shared" si="579"/>
        <v>0</v>
      </c>
      <c r="AT629" s="44" t="s">
        <v>2444</v>
      </c>
      <c r="AU629" s="44" t="s">
        <v>2482</v>
      </c>
      <c r="AV629" s="31" t="s">
        <v>2486</v>
      </c>
      <c r="AX629" s="41">
        <f t="shared" si="580"/>
        <v>0</v>
      </c>
      <c r="AY629" s="41">
        <f t="shared" si="581"/>
        <v>0</v>
      </c>
      <c r="AZ629" s="41">
        <v>0</v>
      </c>
      <c r="BA629" s="41">
        <f t="shared" si="582"/>
        <v>0</v>
      </c>
      <c r="BC629" s="21">
        <f t="shared" si="583"/>
        <v>0</v>
      </c>
      <c r="BD629" s="21">
        <f t="shared" si="584"/>
        <v>0</v>
      </c>
      <c r="BE629" s="21">
        <f t="shared" si="585"/>
        <v>0</v>
      </c>
      <c r="BF629" s="21" t="s">
        <v>2492</v>
      </c>
      <c r="BG629" s="41">
        <v>7669</v>
      </c>
    </row>
    <row r="630" spans="1:59" x14ac:dyDescent="0.3">
      <c r="A630" s="4" t="s">
        <v>619</v>
      </c>
      <c r="B630" s="13"/>
      <c r="C630" s="13" t="s">
        <v>1237</v>
      </c>
      <c r="D630" s="101" t="s">
        <v>2017</v>
      </c>
      <c r="E630" s="102"/>
      <c r="F630" s="13" t="s">
        <v>2391</v>
      </c>
      <c r="G630" s="21">
        <v>1</v>
      </c>
      <c r="H630" s="21">
        <v>0</v>
      </c>
      <c r="I630" s="21">
        <f t="shared" si="562"/>
        <v>0</v>
      </c>
      <c r="J630" s="21">
        <f t="shared" si="563"/>
        <v>0</v>
      </c>
      <c r="K630" s="21">
        <f t="shared" si="564"/>
        <v>0</v>
      </c>
      <c r="L630" s="21">
        <v>0</v>
      </c>
      <c r="M630" s="21">
        <f t="shared" si="565"/>
        <v>0</v>
      </c>
      <c r="N630" s="35" t="s">
        <v>2417</v>
      </c>
      <c r="O630" s="39"/>
      <c r="U630" s="41">
        <f t="shared" si="566"/>
        <v>0</v>
      </c>
      <c r="W630" s="41">
        <f t="shared" si="567"/>
        <v>0</v>
      </c>
      <c r="X630" s="41">
        <f t="shared" si="568"/>
        <v>0</v>
      </c>
      <c r="Y630" s="41">
        <f t="shared" si="569"/>
        <v>0</v>
      </c>
      <c r="Z630" s="41">
        <f t="shared" si="570"/>
        <v>0</v>
      </c>
      <c r="AA630" s="41">
        <f t="shared" si="571"/>
        <v>0</v>
      </c>
      <c r="AB630" s="41">
        <f t="shared" si="572"/>
        <v>0</v>
      </c>
      <c r="AC630" s="41">
        <f t="shared" si="573"/>
        <v>0</v>
      </c>
      <c r="AD630" s="31"/>
      <c r="AE630" s="21">
        <f t="shared" si="574"/>
        <v>0</v>
      </c>
      <c r="AF630" s="21">
        <f t="shared" si="575"/>
        <v>0</v>
      </c>
      <c r="AG630" s="21">
        <f t="shared" si="576"/>
        <v>0</v>
      </c>
      <c r="AI630" s="41">
        <v>21</v>
      </c>
      <c r="AJ630" s="41">
        <f>H630*0.626994911144859</f>
        <v>0</v>
      </c>
      <c r="AK630" s="41">
        <f>H630*(1-0.626994911144859)</f>
        <v>0</v>
      </c>
      <c r="AL630" s="42" t="s">
        <v>13</v>
      </c>
      <c r="AQ630" s="41">
        <f t="shared" si="577"/>
        <v>0</v>
      </c>
      <c r="AR630" s="41">
        <f t="shared" si="578"/>
        <v>0</v>
      </c>
      <c r="AS630" s="41">
        <f t="shared" si="579"/>
        <v>0</v>
      </c>
      <c r="AT630" s="44" t="s">
        <v>2444</v>
      </c>
      <c r="AU630" s="44" t="s">
        <v>2482</v>
      </c>
      <c r="AV630" s="31" t="s">
        <v>2486</v>
      </c>
      <c r="AX630" s="41">
        <f t="shared" si="580"/>
        <v>0</v>
      </c>
      <c r="AY630" s="41">
        <f t="shared" si="581"/>
        <v>0</v>
      </c>
      <c r="AZ630" s="41">
        <v>0</v>
      </c>
      <c r="BA630" s="41">
        <f t="shared" si="582"/>
        <v>0</v>
      </c>
      <c r="BC630" s="21">
        <f t="shared" si="583"/>
        <v>0</v>
      </c>
      <c r="BD630" s="21">
        <f t="shared" si="584"/>
        <v>0</v>
      </c>
      <c r="BE630" s="21">
        <f t="shared" si="585"/>
        <v>0</v>
      </c>
      <c r="BF630" s="21" t="s">
        <v>2492</v>
      </c>
      <c r="BG630" s="41">
        <v>7669</v>
      </c>
    </row>
    <row r="631" spans="1:59" x14ac:dyDescent="0.3">
      <c r="A631" s="4" t="s">
        <v>620</v>
      </c>
      <c r="B631" s="13"/>
      <c r="C631" s="13" t="s">
        <v>1238</v>
      </c>
      <c r="D631" s="101" t="s">
        <v>2018</v>
      </c>
      <c r="E631" s="102"/>
      <c r="F631" s="13" t="s">
        <v>2391</v>
      </c>
      <c r="G631" s="21">
        <v>1</v>
      </c>
      <c r="H631" s="21">
        <v>0</v>
      </c>
      <c r="I631" s="21">
        <f t="shared" si="562"/>
        <v>0</v>
      </c>
      <c r="J631" s="21">
        <f t="shared" si="563"/>
        <v>0</v>
      </c>
      <c r="K631" s="21">
        <f t="shared" si="564"/>
        <v>0</v>
      </c>
      <c r="L631" s="21">
        <v>0</v>
      </c>
      <c r="M631" s="21">
        <f t="shared" si="565"/>
        <v>0</v>
      </c>
      <c r="N631" s="35" t="s">
        <v>2417</v>
      </c>
      <c r="O631" s="39"/>
      <c r="U631" s="41">
        <f t="shared" si="566"/>
        <v>0</v>
      </c>
      <c r="W631" s="41">
        <f t="shared" si="567"/>
        <v>0</v>
      </c>
      <c r="X631" s="41">
        <f t="shared" si="568"/>
        <v>0</v>
      </c>
      <c r="Y631" s="41">
        <f t="shared" si="569"/>
        <v>0</v>
      </c>
      <c r="Z631" s="41">
        <f t="shared" si="570"/>
        <v>0</v>
      </c>
      <c r="AA631" s="41">
        <f t="shared" si="571"/>
        <v>0</v>
      </c>
      <c r="AB631" s="41">
        <f t="shared" si="572"/>
        <v>0</v>
      </c>
      <c r="AC631" s="41">
        <f t="shared" si="573"/>
        <v>0</v>
      </c>
      <c r="AD631" s="31"/>
      <c r="AE631" s="21">
        <f t="shared" si="574"/>
        <v>0</v>
      </c>
      <c r="AF631" s="21">
        <f t="shared" si="575"/>
        <v>0</v>
      </c>
      <c r="AG631" s="21">
        <f t="shared" si="576"/>
        <v>0</v>
      </c>
      <c r="AI631" s="41">
        <v>21</v>
      </c>
      <c r="AJ631" s="41">
        <f>H631*0.811471932884008</f>
        <v>0</v>
      </c>
      <c r="AK631" s="41">
        <f>H631*(1-0.811471932884008)</f>
        <v>0</v>
      </c>
      <c r="AL631" s="42" t="s">
        <v>13</v>
      </c>
      <c r="AQ631" s="41">
        <f t="shared" si="577"/>
        <v>0</v>
      </c>
      <c r="AR631" s="41">
        <f t="shared" si="578"/>
        <v>0</v>
      </c>
      <c r="AS631" s="41">
        <f t="shared" si="579"/>
        <v>0</v>
      </c>
      <c r="AT631" s="44" t="s">
        <v>2444</v>
      </c>
      <c r="AU631" s="44" t="s">
        <v>2482</v>
      </c>
      <c r="AV631" s="31" t="s">
        <v>2486</v>
      </c>
      <c r="AX631" s="41">
        <f t="shared" si="580"/>
        <v>0</v>
      </c>
      <c r="AY631" s="41">
        <f t="shared" si="581"/>
        <v>0</v>
      </c>
      <c r="AZ631" s="41">
        <v>0</v>
      </c>
      <c r="BA631" s="41">
        <f t="shared" si="582"/>
        <v>0</v>
      </c>
      <c r="BC631" s="21">
        <f t="shared" si="583"/>
        <v>0</v>
      </c>
      <c r="BD631" s="21">
        <f t="shared" si="584"/>
        <v>0</v>
      </c>
      <c r="BE631" s="21">
        <f t="shared" si="585"/>
        <v>0</v>
      </c>
      <c r="BF631" s="21" t="s">
        <v>2492</v>
      </c>
      <c r="BG631" s="41">
        <v>7669</v>
      </c>
    </row>
    <row r="632" spans="1:59" x14ac:dyDescent="0.3">
      <c r="A632" s="4" t="s">
        <v>621</v>
      </c>
      <c r="B632" s="13"/>
      <c r="C632" s="13" t="s">
        <v>1239</v>
      </c>
      <c r="D632" s="101" t="s">
        <v>2019</v>
      </c>
      <c r="E632" s="102"/>
      <c r="F632" s="13" t="s">
        <v>2391</v>
      </c>
      <c r="G632" s="21">
        <v>1</v>
      </c>
      <c r="H632" s="21">
        <v>0</v>
      </c>
      <c r="I632" s="21">
        <f t="shared" si="562"/>
        <v>0</v>
      </c>
      <c r="J632" s="21">
        <f t="shared" si="563"/>
        <v>0</v>
      </c>
      <c r="K632" s="21">
        <f t="shared" si="564"/>
        <v>0</v>
      </c>
      <c r="L632" s="21">
        <v>0</v>
      </c>
      <c r="M632" s="21">
        <f t="shared" si="565"/>
        <v>0</v>
      </c>
      <c r="N632" s="35" t="s">
        <v>2417</v>
      </c>
      <c r="O632" s="39"/>
      <c r="U632" s="41">
        <f t="shared" si="566"/>
        <v>0</v>
      </c>
      <c r="W632" s="41">
        <f t="shared" si="567"/>
        <v>0</v>
      </c>
      <c r="X632" s="41">
        <f t="shared" si="568"/>
        <v>0</v>
      </c>
      <c r="Y632" s="41">
        <f t="shared" si="569"/>
        <v>0</v>
      </c>
      <c r="Z632" s="41">
        <f t="shared" si="570"/>
        <v>0</v>
      </c>
      <c r="AA632" s="41">
        <f t="shared" si="571"/>
        <v>0</v>
      </c>
      <c r="AB632" s="41">
        <f t="shared" si="572"/>
        <v>0</v>
      </c>
      <c r="AC632" s="41">
        <f t="shared" si="573"/>
        <v>0</v>
      </c>
      <c r="AD632" s="31"/>
      <c r="AE632" s="21">
        <f t="shared" si="574"/>
        <v>0</v>
      </c>
      <c r="AF632" s="21">
        <f t="shared" si="575"/>
        <v>0</v>
      </c>
      <c r="AG632" s="21">
        <f t="shared" si="576"/>
        <v>0</v>
      </c>
      <c r="AI632" s="41">
        <v>21</v>
      </c>
      <c r="AJ632" s="41">
        <f>H632*0.870934434692824</f>
        <v>0</v>
      </c>
      <c r="AK632" s="41">
        <f>H632*(1-0.870934434692824)</f>
        <v>0</v>
      </c>
      <c r="AL632" s="42" t="s">
        <v>13</v>
      </c>
      <c r="AQ632" s="41">
        <f t="shared" si="577"/>
        <v>0</v>
      </c>
      <c r="AR632" s="41">
        <f t="shared" si="578"/>
        <v>0</v>
      </c>
      <c r="AS632" s="41">
        <f t="shared" si="579"/>
        <v>0</v>
      </c>
      <c r="AT632" s="44" t="s">
        <v>2444</v>
      </c>
      <c r="AU632" s="44" t="s">
        <v>2482</v>
      </c>
      <c r="AV632" s="31" t="s">
        <v>2486</v>
      </c>
      <c r="AX632" s="41">
        <f t="shared" si="580"/>
        <v>0</v>
      </c>
      <c r="AY632" s="41">
        <f t="shared" si="581"/>
        <v>0</v>
      </c>
      <c r="AZ632" s="41">
        <v>0</v>
      </c>
      <c r="BA632" s="41">
        <f t="shared" si="582"/>
        <v>0</v>
      </c>
      <c r="BC632" s="21">
        <f t="shared" si="583"/>
        <v>0</v>
      </c>
      <c r="BD632" s="21">
        <f t="shared" si="584"/>
        <v>0</v>
      </c>
      <c r="BE632" s="21">
        <f t="shared" si="585"/>
        <v>0</v>
      </c>
      <c r="BF632" s="21" t="s">
        <v>2492</v>
      </c>
      <c r="BG632" s="41">
        <v>7669</v>
      </c>
    </row>
    <row r="633" spans="1:59" x14ac:dyDescent="0.3">
      <c r="A633" s="4" t="s">
        <v>622</v>
      </c>
      <c r="B633" s="13"/>
      <c r="C633" s="13" t="s">
        <v>1240</v>
      </c>
      <c r="D633" s="101" t="s">
        <v>2020</v>
      </c>
      <c r="E633" s="102"/>
      <c r="F633" s="13" t="s">
        <v>2391</v>
      </c>
      <c r="G633" s="21">
        <v>1</v>
      </c>
      <c r="H633" s="21">
        <v>0</v>
      </c>
      <c r="I633" s="21">
        <f t="shared" si="562"/>
        <v>0</v>
      </c>
      <c r="J633" s="21">
        <f t="shared" si="563"/>
        <v>0</v>
      </c>
      <c r="K633" s="21">
        <f t="shared" si="564"/>
        <v>0</v>
      </c>
      <c r="L633" s="21">
        <v>0</v>
      </c>
      <c r="M633" s="21">
        <f t="shared" si="565"/>
        <v>0</v>
      </c>
      <c r="N633" s="35" t="s">
        <v>2417</v>
      </c>
      <c r="O633" s="39"/>
      <c r="U633" s="41">
        <f t="shared" si="566"/>
        <v>0</v>
      </c>
      <c r="W633" s="41">
        <f t="shared" si="567"/>
        <v>0</v>
      </c>
      <c r="X633" s="41">
        <f t="shared" si="568"/>
        <v>0</v>
      </c>
      <c r="Y633" s="41">
        <f t="shared" si="569"/>
        <v>0</v>
      </c>
      <c r="Z633" s="41">
        <f t="shared" si="570"/>
        <v>0</v>
      </c>
      <c r="AA633" s="41">
        <f t="shared" si="571"/>
        <v>0</v>
      </c>
      <c r="AB633" s="41">
        <f t="shared" si="572"/>
        <v>0</v>
      </c>
      <c r="AC633" s="41">
        <f t="shared" si="573"/>
        <v>0</v>
      </c>
      <c r="AD633" s="31"/>
      <c r="AE633" s="21">
        <f t="shared" si="574"/>
        <v>0</v>
      </c>
      <c r="AF633" s="21">
        <f t="shared" si="575"/>
        <v>0</v>
      </c>
      <c r="AG633" s="21">
        <f t="shared" si="576"/>
        <v>0</v>
      </c>
      <c r="AI633" s="41">
        <v>21</v>
      </c>
      <c r="AJ633" s="41">
        <f>H633*0.739845585767036</f>
        <v>0</v>
      </c>
      <c r="AK633" s="41">
        <f>H633*(1-0.739845585767036)</f>
        <v>0</v>
      </c>
      <c r="AL633" s="42" t="s">
        <v>13</v>
      </c>
      <c r="AQ633" s="41">
        <f t="shared" si="577"/>
        <v>0</v>
      </c>
      <c r="AR633" s="41">
        <f t="shared" si="578"/>
        <v>0</v>
      </c>
      <c r="AS633" s="41">
        <f t="shared" si="579"/>
        <v>0</v>
      </c>
      <c r="AT633" s="44" t="s">
        <v>2444</v>
      </c>
      <c r="AU633" s="44" t="s">
        <v>2482</v>
      </c>
      <c r="AV633" s="31" t="s">
        <v>2486</v>
      </c>
      <c r="AX633" s="41">
        <f t="shared" si="580"/>
        <v>0</v>
      </c>
      <c r="AY633" s="41">
        <f t="shared" si="581"/>
        <v>0</v>
      </c>
      <c r="AZ633" s="41">
        <v>0</v>
      </c>
      <c r="BA633" s="41">
        <f t="shared" si="582"/>
        <v>0</v>
      </c>
      <c r="BC633" s="21">
        <f t="shared" si="583"/>
        <v>0</v>
      </c>
      <c r="BD633" s="21">
        <f t="shared" si="584"/>
        <v>0</v>
      </c>
      <c r="BE633" s="21">
        <f t="shared" si="585"/>
        <v>0</v>
      </c>
      <c r="BF633" s="21" t="s">
        <v>2492</v>
      </c>
      <c r="BG633" s="41">
        <v>7669</v>
      </c>
    </row>
    <row r="634" spans="1:59" x14ac:dyDescent="0.3">
      <c r="A634" s="4" t="s">
        <v>623</v>
      </c>
      <c r="B634" s="13"/>
      <c r="C634" s="13" t="s">
        <v>1241</v>
      </c>
      <c r="D634" s="101" t="s">
        <v>2021</v>
      </c>
      <c r="E634" s="102"/>
      <c r="F634" s="13" t="s">
        <v>2391</v>
      </c>
      <c r="G634" s="21">
        <v>1</v>
      </c>
      <c r="H634" s="21">
        <v>0</v>
      </c>
      <c r="I634" s="21">
        <f t="shared" si="562"/>
        <v>0</v>
      </c>
      <c r="J634" s="21">
        <f t="shared" si="563"/>
        <v>0</v>
      </c>
      <c r="K634" s="21">
        <f t="shared" si="564"/>
        <v>0</v>
      </c>
      <c r="L634" s="21">
        <v>0</v>
      </c>
      <c r="M634" s="21">
        <f t="shared" si="565"/>
        <v>0</v>
      </c>
      <c r="N634" s="35" t="s">
        <v>2417</v>
      </c>
      <c r="O634" s="39"/>
      <c r="U634" s="41">
        <f t="shared" si="566"/>
        <v>0</v>
      </c>
      <c r="W634" s="41">
        <f t="shared" si="567"/>
        <v>0</v>
      </c>
      <c r="X634" s="41">
        <f t="shared" si="568"/>
        <v>0</v>
      </c>
      <c r="Y634" s="41">
        <f t="shared" si="569"/>
        <v>0</v>
      </c>
      <c r="Z634" s="41">
        <f t="shared" si="570"/>
        <v>0</v>
      </c>
      <c r="AA634" s="41">
        <f t="shared" si="571"/>
        <v>0</v>
      </c>
      <c r="AB634" s="41">
        <f t="shared" si="572"/>
        <v>0</v>
      </c>
      <c r="AC634" s="41">
        <f t="shared" si="573"/>
        <v>0</v>
      </c>
      <c r="AD634" s="31"/>
      <c r="AE634" s="21">
        <f t="shared" si="574"/>
        <v>0</v>
      </c>
      <c r="AF634" s="21">
        <f t="shared" si="575"/>
        <v>0</v>
      </c>
      <c r="AG634" s="21">
        <f t="shared" si="576"/>
        <v>0</v>
      </c>
      <c r="AI634" s="41">
        <v>21</v>
      </c>
      <c r="AJ634" s="41">
        <f>H634*0.817393289203378</f>
        <v>0</v>
      </c>
      <c r="AK634" s="41">
        <f>H634*(1-0.817393289203378)</f>
        <v>0</v>
      </c>
      <c r="AL634" s="42" t="s">
        <v>13</v>
      </c>
      <c r="AQ634" s="41">
        <f t="shared" si="577"/>
        <v>0</v>
      </c>
      <c r="AR634" s="41">
        <f t="shared" si="578"/>
        <v>0</v>
      </c>
      <c r="AS634" s="41">
        <f t="shared" si="579"/>
        <v>0</v>
      </c>
      <c r="AT634" s="44" t="s">
        <v>2444</v>
      </c>
      <c r="AU634" s="44" t="s">
        <v>2482</v>
      </c>
      <c r="AV634" s="31" t="s">
        <v>2486</v>
      </c>
      <c r="AX634" s="41">
        <f t="shared" si="580"/>
        <v>0</v>
      </c>
      <c r="AY634" s="41">
        <f t="shared" si="581"/>
        <v>0</v>
      </c>
      <c r="AZ634" s="41">
        <v>0</v>
      </c>
      <c r="BA634" s="41">
        <f t="shared" si="582"/>
        <v>0</v>
      </c>
      <c r="BC634" s="21">
        <f t="shared" si="583"/>
        <v>0</v>
      </c>
      <c r="BD634" s="21">
        <f t="shared" si="584"/>
        <v>0</v>
      </c>
      <c r="BE634" s="21">
        <f t="shared" si="585"/>
        <v>0</v>
      </c>
      <c r="BF634" s="21" t="s">
        <v>2492</v>
      </c>
      <c r="BG634" s="41">
        <v>7669</v>
      </c>
    </row>
    <row r="635" spans="1:59" x14ac:dyDescent="0.3">
      <c r="A635" s="4" t="s">
        <v>624</v>
      </c>
      <c r="B635" s="13"/>
      <c r="C635" s="13" t="s">
        <v>1242</v>
      </c>
      <c r="D635" s="101" t="s">
        <v>2022</v>
      </c>
      <c r="E635" s="102"/>
      <c r="F635" s="13" t="s">
        <v>2391</v>
      </c>
      <c r="G635" s="21">
        <v>1</v>
      </c>
      <c r="H635" s="21">
        <v>0</v>
      </c>
      <c r="I635" s="21">
        <f t="shared" si="562"/>
        <v>0</v>
      </c>
      <c r="J635" s="21">
        <f t="shared" si="563"/>
        <v>0</v>
      </c>
      <c r="K635" s="21">
        <f t="shared" si="564"/>
        <v>0</v>
      </c>
      <c r="L635" s="21">
        <v>0</v>
      </c>
      <c r="M635" s="21">
        <f t="shared" si="565"/>
        <v>0</v>
      </c>
      <c r="N635" s="35" t="s">
        <v>2417</v>
      </c>
      <c r="O635" s="39"/>
      <c r="U635" s="41">
        <f t="shared" si="566"/>
        <v>0</v>
      </c>
      <c r="W635" s="41">
        <f t="shared" si="567"/>
        <v>0</v>
      </c>
      <c r="X635" s="41">
        <f t="shared" si="568"/>
        <v>0</v>
      </c>
      <c r="Y635" s="41">
        <f t="shared" si="569"/>
        <v>0</v>
      </c>
      <c r="Z635" s="41">
        <f t="shared" si="570"/>
        <v>0</v>
      </c>
      <c r="AA635" s="41">
        <f t="shared" si="571"/>
        <v>0</v>
      </c>
      <c r="AB635" s="41">
        <f t="shared" si="572"/>
        <v>0</v>
      </c>
      <c r="AC635" s="41">
        <f t="shared" si="573"/>
        <v>0</v>
      </c>
      <c r="AD635" s="31"/>
      <c r="AE635" s="21">
        <f t="shared" si="574"/>
        <v>0</v>
      </c>
      <c r="AF635" s="21">
        <f t="shared" si="575"/>
        <v>0</v>
      </c>
      <c r="AG635" s="21">
        <f t="shared" si="576"/>
        <v>0</v>
      </c>
      <c r="AI635" s="41">
        <v>21</v>
      </c>
      <c r="AJ635" s="41">
        <f>H635*0.807879677786774</f>
        <v>0</v>
      </c>
      <c r="AK635" s="41">
        <f>H635*(1-0.807879677786774)</f>
        <v>0</v>
      </c>
      <c r="AL635" s="42" t="s">
        <v>13</v>
      </c>
      <c r="AQ635" s="41">
        <f t="shared" si="577"/>
        <v>0</v>
      </c>
      <c r="AR635" s="41">
        <f t="shared" si="578"/>
        <v>0</v>
      </c>
      <c r="AS635" s="41">
        <f t="shared" si="579"/>
        <v>0</v>
      </c>
      <c r="AT635" s="44" t="s">
        <v>2444</v>
      </c>
      <c r="AU635" s="44" t="s">
        <v>2482</v>
      </c>
      <c r="AV635" s="31" t="s">
        <v>2486</v>
      </c>
      <c r="AX635" s="41">
        <f t="shared" si="580"/>
        <v>0</v>
      </c>
      <c r="AY635" s="41">
        <f t="shared" si="581"/>
        <v>0</v>
      </c>
      <c r="AZ635" s="41">
        <v>0</v>
      </c>
      <c r="BA635" s="41">
        <f t="shared" si="582"/>
        <v>0</v>
      </c>
      <c r="BC635" s="21">
        <f t="shared" si="583"/>
        <v>0</v>
      </c>
      <c r="BD635" s="21">
        <f t="shared" si="584"/>
        <v>0</v>
      </c>
      <c r="BE635" s="21">
        <f t="shared" si="585"/>
        <v>0</v>
      </c>
      <c r="BF635" s="21" t="s">
        <v>2492</v>
      </c>
      <c r="BG635" s="41">
        <v>7669</v>
      </c>
    </row>
    <row r="636" spans="1:59" x14ac:dyDescent="0.3">
      <c r="A636" s="4" t="s">
        <v>625</v>
      </c>
      <c r="B636" s="13"/>
      <c r="C636" s="13" t="s">
        <v>1243</v>
      </c>
      <c r="D636" s="101" t="s">
        <v>2023</v>
      </c>
      <c r="E636" s="102"/>
      <c r="F636" s="13" t="s">
        <v>2391</v>
      </c>
      <c r="G636" s="21">
        <v>4</v>
      </c>
      <c r="H636" s="21">
        <v>0</v>
      </c>
      <c r="I636" s="21">
        <f t="shared" ref="I636:I647" si="586">G636*AJ636</f>
        <v>0</v>
      </c>
      <c r="J636" s="21">
        <f t="shared" ref="J636:J647" si="587">G636*AK636</f>
        <v>0</v>
      </c>
      <c r="K636" s="21">
        <f t="shared" ref="K636:K647" si="588">G636*H636</f>
        <v>0</v>
      </c>
      <c r="L636" s="21">
        <v>0</v>
      </c>
      <c r="M636" s="21">
        <f t="shared" ref="M636:M647" si="589">G636*L636</f>
        <v>0</v>
      </c>
      <c r="N636" s="35" t="s">
        <v>2417</v>
      </c>
      <c r="O636" s="39"/>
      <c r="U636" s="41">
        <f t="shared" ref="U636:U647" si="590">IF(AL636="5",BE636,0)</f>
        <v>0</v>
      </c>
      <c r="W636" s="41">
        <f t="shared" ref="W636:W647" si="591">IF(AL636="1",BC636,0)</f>
        <v>0</v>
      </c>
      <c r="X636" s="41">
        <f t="shared" ref="X636:X647" si="592">IF(AL636="1",BD636,0)</f>
        <v>0</v>
      </c>
      <c r="Y636" s="41">
        <f t="shared" ref="Y636:Y647" si="593">IF(AL636="7",BC636,0)</f>
        <v>0</v>
      </c>
      <c r="Z636" s="41">
        <f t="shared" ref="Z636:Z647" si="594">IF(AL636="7",BD636,0)</f>
        <v>0</v>
      </c>
      <c r="AA636" s="41">
        <f t="shared" ref="AA636:AA647" si="595">IF(AL636="2",BC636,0)</f>
        <v>0</v>
      </c>
      <c r="AB636" s="41">
        <f t="shared" ref="AB636:AB647" si="596">IF(AL636="2",BD636,0)</f>
        <v>0</v>
      </c>
      <c r="AC636" s="41">
        <f t="shared" ref="AC636:AC647" si="597">IF(AL636="0",BE636,0)</f>
        <v>0</v>
      </c>
      <c r="AD636" s="31"/>
      <c r="AE636" s="21">
        <f t="shared" ref="AE636:AE647" si="598">IF(AI636=0,K636,0)</f>
        <v>0</v>
      </c>
      <c r="AF636" s="21">
        <f t="shared" ref="AF636:AF647" si="599">IF(AI636=15,K636,0)</f>
        <v>0</v>
      </c>
      <c r="AG636" s="21">
        <f t="shared" ref="AG636:AG647" si="600">IF(AI636=21,K636,0)</f>
        <v>0</v>
      </c>
      <c r="AI636" s="41">
        <v>21</v>
      </c>
      <c r="AJ636" s="41">
        <f>H636*0.794871794871795</f>
        <v>0</v>
      </c>
      <c r="AK636" s="41">
        <f>H636*(1-0.794871794871795)</f>
        <v>0</v>
      </c>
      <c r="AL636" s="42" t="s">
        <v>13</v>
      </c>
      <c r="AQ636" s="41">
        <f t="shared" ref="AQ636:AQ647" si="601">AR636+AS636</f>
        <v>0</v>
      </c>
      <c r="AR636" s="41">
        <f t="shared" ref="AR636:AR647" si="602">G636*AJ636</f>
        <v>0</v>
      </c>
      <c r="AS636" s="41">
        <f t="shared" ref="AS636:AS647" si="603">G636*AK636</f>
        <v>0</v>
      </c>
      <c r="AT636" s="44" t="s">
        <v>2444</v>
      </c>
      <c r="AU636" s="44" t="s">
        <v>2482</v>
      </c>
      <c r="AV636" s="31" t="s">
        <v>2486</v>
      </c>
      <c r="AX636" s="41">
        <f t="shared" ref="AX636:AX647" si="604">AR636+AS636</f>
        <v>0</v>
      </c>
      <c r="AY636" s="41">
        <f t="shared" ref="AY636:AY647" si="605">H636/(100-AZ636)*100</f>
        <v>0</v>
      </c>
      <c r="AZ636" s="41">
        <v>0</v>
      </c>
      <c r="BA636" s="41">
        <f t="shared" ref="BA636:BA647" si="606">M636</f>
        <v>0</v>
      </c>
      <c r="BC636" s="21">
        <f t="shared" ref="BC636:BC647" si="607">G636*AJ636</f>
        <v>0</v>
      </c>
      <c r="BD636" s="21">
        <f t="shared" ref="BD636:BD647" si="608">G636*AK636</f>
        <v>0</v>
      </c>
      <c r="BE636" s="21">
        <f t="shared" ref="BE636:BE647" si="609">G636*H636</f>
        <v>0</v>
      </c>
      <c r="BF636" s="21" t="s">
        <v>2492</v>
      </c>
      <c r="BG636" s="41">
        <v>7669</v>
      </c>
    </row>
    <row r="637" spans="1:59" x14ac:dyDescent="0.3">
      <c r="A637" s="4" t="s">
        <v>626</v>
      </c>
      <c r="B637" s="13"/>
      <c r="C637" s="13" t="s">
        <v>1244</v>
      </c>
      <c r="D637" s="101" t="s">
        <v>2024</v>
      </c>
      <c r="E637" s="102"/>
      <c r="F637" s="13" t="s">
        <v>2391</v>
      </c>
      <c r="G637" s="21">
        <v>1</v>
      </c>
      <c r="H637" s="21">
        <v>0</v>
      </c>
      <c r="I637" s="21">
        <f t="shared" si="586"/>
        <v>0</v>
      </c>
      <c r="J637" s="21">
        <f t="shared" si="587"/>
        <v>0</v>
      </c>
      <c r="K637" s="21">
        <f t="shared" si="588"/>
        <v>0</v>
      </c>
      <c r="L637" s="21">
        <v>0</v>
      </c>
      <c r="M637" s="21">
        <f t="shared" si="589"/>
        <v>0</v>
      </c>
      <c r="N637" s="35" t="s">
        <v>2417</v>
      </c>
      <c r="O637" s="39"/>
      <c r="U637" s="41">
        <f t="shared" si="590"/>
        <v>0</v>
      </c>
      <c r="W637" s="41">
        <f t="shared" si="591"/>
        <v>0</v>
      </c>
      <c r="X637" s="41">
        <f t="shared" si="592"/>
        <v>0</v>
      </c>
      <c r="Y637" s="41">
        <f t="shared" si="593"/>
        <v>0</v>
      </c>
      <c r="Z637" s="41">
        <f t="shared" si="594"/>
        <v>0</v>
      </c>
      <c r="AA637" s="41">
        <f t="shared" si="595"/>
        <v>0</v>
      </c>
      <c r="AB637" s="41">
        <f t="shared" si="596"/>
        <v>0</v>
      </c>
      <c r="AC637" s="41">
        <f t="shared" si="597"/>
        <v>0</v>
      </c>
      <c r="AD637" s="31"/>
      <c r="AE637" s="21">
        <f t="shared" si="598"/>
        <v>0</v>
      </c>
      <c r="AF637" s="21">
        <f t="shared" si="599"/>
        <v>0</v>
      </c>
      <c r="AG637" s="21">
        <f t="shared" si="600"/>
        <v>0</v>
      </c>
      <c r="AI637" s="41">
        <v>21</v>
      </c>
      <c r="AJ637" s="41">
        <f>H637*0.759309562287247</f>
        <v>0</v>
      </c>
      <c r="AK637" s="41">
        <f>H637*(1-0.759309562287247)</f>
        <v>0</v>
      </c>
      <c r="AL637" s="42" t="s">
        <v>13</v>
      </c>
      <c r="AQ637" s="41">
        <f t="shared" si="601"/>
        <v>0</v>
      </c>
      <c r="AR637" s="41">
        <f t="shared" si="602"/>
        <v>0</v>
      </c>
      <c r="AS637" s="41">
        <f t="shared" si="603"/>
        <v>0</v>
      </c>
      <c r="AT637" s="44" t="s">
        <v>2444</v>
      </c>
      <c r="AU637" s="44" t="s">
        <v>2482</v>
      </c>
      <c r="AV637" s="31" t="s">
        <v>2486</v>
      </c>
      <c r="AX637" s="41">
        <f t="shared" si="604"/>
        <v>0</v>
      </c>
      <c r="AY637" s="41">
        <f t="shared" si="605"/>
        <v>0</v>
      </c>
      <c r="AZ637" s="41">
        <v>0</v>
      </c>
      <c r="BA637" s="41">
        <f t="shared" si="606"/>
        <v>0</v>
      </c>
      <c r="BC637" s="21">
        <f t="shared" si="607"/>
        <v>0</v>
      </c>
      <c r="BD637" s="21">
        <f t="shared" si="608"/>
        <v>0</v>
      </c>
      <c r="BE637" s="21">
        <f t="shared" si="609"/>
        <v>0</v>
      </c>
      <c r="BF637" s="21" t="s">
        <v>2492</v>
      </c>
      <c r="BG637" s="41">
        <v>7669</v>
      </c>
    </row>
    <row r="638" spans="1:59" x14ac:dyDescent="0.3">
      <c r="A638" s="4" t="s">
        <v>627</v>
      </c>
      <c r="B638" s="13"/>
      <c r="C638" s="13" t="s">
        <v>1245</v>
      </c>
      <c r="D638" s="101" t="s">
        <v>2025</v>
      </c>
      <c r="E638" s="102"/>
      <c r="F638" s="13" t="s">
        <v>2391</v>
      </c>
      <c r="G638" s="21">
        <v>1</v>
      </c>
      <c r="H638" s="21">
        <v>0</v>
      </c>
      <c r="I638" s="21">
        <f t="shared" si="586"/>
        <v>0</v>
      </c>
      <c r="J638" s="21">
        <f t="shared" si="587"/>
        <v>0</v>
      </c>
      <c r="K638" s="21">
        <f t="shared" si="588"/>
        <v>0</v>
      </c>
      <c r="L638" s="21">
        <v>0</v>
      </c>
      <c r="M638" s="21">
        <f t="shared" si="589"/>
        <v>0</v>
      </c>
      <c r="N638" s="35" t="s">
        <v>2417</v>
      </c>
      <c r="O638" s="39"/>
      <c r="U638" s="41">
        <f t="shared" si="590"/>
        <v>0</v>
      </c>
      <c r="W638" s="41">
        <f t="shared" si="591"/>
        <v>0</v>
      </c>
      <c r="X638" s="41">
        <f t="shared" si="592"/>
        <v>0</v>
      </c>
      <c r="Y638" s="41">
        <f t="shared" si="593"/>
        <v>0</v>
      </c>
      <c r="Z638" s="41">
        <f t="shared" si="594"/>
        <v>0</v>
      </c>
      <c r="AA638" s="41">
        <f t="shared" si="595"/>
        <v>0</v>
      </c>
      <c r="AB638" s="41">
        <f t="shared" si="596"/>
        <v>0</v>
      </c>
      <c r="AC638" s="41">
        <f t="shared" si="597"/>
        <v>0</v>
      </c>
      <c r="AD638" s="31"/>
      <c r="AE638" s="21">
        <f t="shared" si="598"/>
        <v>0</v>
      </c>
      <c r="AF638" s="21">
        <f t="shared" si="599"/>
        <v>0</v>
      </c>
      <c r="AG638" s="21">
        <f t="shared" si="600"/>
        <v>0</v>
      </c>
      <c r="AI638" s="41">
        <v>21</v>
      </c>
      <c r="AJ638" s="41">
        <f>H638*0.793098352176162</f>
        <v>0</v>
      </c>
      <c r="AK638" s="41">
        <f>H638*(1-0.793098352176162)</f>
        <v>0</v>
      </c>
      <c r="AL638" s="42" t="s">
        <v>13</v>
      </c>
      <c r="AQ638" s="41">
        <f t="shared" si="601"/>
        <v>0</v>
      </c>
      <c r="AR638" s="41">
        <f t="shared" si="602"/>
        <v>0</v>
      </c>
      <c r="AS638" s="41">
        <f t="shared" si="603"/>
        <v>0</v>
      </c>
      <c r="AT638" s="44" t="s">
        <v>2444</v>
      </c>
      <c r="AU638" s="44" t="s">
        <v>2482</v>
      </c>
      <c r="AV638" s="31" t="s">
        <v>2486</v>
      </c>
      <c r="AX638" s="41">
        <f t="shared" si="604"/>
        <v>0</v>
      </c>
      <c r="AY638" s="41">
        <f t="shared" si="605"/>
        <v>0</v>
      </c>
      <c r="AZ638" s="41">
        <v>0</v>
      </c>
      <c r="BA638" s="41">
        <f t="shared" si="606"/>
        <v>0</v>
      </c>
      <c r="BC638" s="21">
        <f t="shared" si="607"/>
        <v>0</v>
      </c>
      <c r="BD638" s="21">
        <f t="shared" si="608"/>
        <v>0</v>
      </c>
      <c r="BE638" s="21">
        <f t="shared" si="609"/>
        <v>0</v>
      </c>
      <c r="BF638" s="21" t="s">
        <v>2492</v>
      </c>
      <c r="BG638" s="41">
        <v>7669</v>
      </c>
    </row>
    <row r="639" spans="1:59" x14ac:dyDescent="0.3">
      <c r="A639" s="4" t="s">
        <v>628</v>
      </c>
      <c r="B639" s="13"/>
      <c r="C639" s="13" t="s">
        <v>1246</v>
      </c>
      <c r="D639" s="101" t="s">
        <v>2026</v>
      </c>
      <c r="E639" s="102"/>
      <c r="F639" s="13" t="s">
        <v>2391</v>
      </c>
      <c r="G639" s="21">
        <v>1</v>
      </c>
      <c r="H639" s="21">
        <v>0</v>
      </c>
      <c r="I639" s="21">
        <f t="shared" si="586"/>
        <v>0</v>
      </c>
      <c r="J639" s="21">
        <f t="shared" si="587"/>
        <v>0</v>
      </c>
      <c r="K639" s="21">
        <f t="shared" si="588"/>
        <v>0</v>
      </c>
      <c r="L639" s="21">
        <v>0</v>
      </c>
      <c r="M639" s="21">
        <f t="shared" si="589"/>
        <v>0</v>
      </c>
      <c r="N639" s="35" t="s">
        <v>2417</v>
      </c>
      <c r="O639" s="39"/>
      <c r="U639" s="41">
        <f t="shared" si="590"/>
        <v>0</v>
      </c>
      <c r="W639" s="41">
        <f t="shared" si="591"/>
        <v>0</v>
      </c>
      <c r="X639" s="41">
        <f t="shared" si="592"/>
        <v>0</v>
      </c>
      <c r="Y639" s="41">
        <f t="shared" si="593"/>
        <v>0</v>
      </c>
      <c r="Z639" s="41">
        <f t="shared" si="594"/>
        <v>0</v>
      </c>
      <c r="AA639" s="41">
        <f t="shared" si="595"/>
        <v>0</v>
      </c>
      <c r="AB639" s="41">
        <f t="shared" si="596"/>
        <v>0</v>
      </c>
      <c r="AC639" s="41">
        <f t="shared" si="597"/>
        <v>0</v>
      </c>
      <c r="AD639" s="31"/>
      <c r="AE639" s="21">
        <f t="shared" si="598"/>
        <v>0</v>
      </c>
      <c r="AF639" s="21">
        <f t="shared" si="599"/>
        <v>0</v>
      </c>
      <c r="AG639" s="21">
        <f t="shared" si="600"/>
        <v>0</v>
      </c>
      <c r="AI639" s="41">
        <v>21</v>
      </c>
      <c r="AJ639" s="41">
        <f>H639*0.793098352176162</f>
        <v>0</v>
      </c>
      <c r="AK639" s="41">
        <f>H639*(1-0.793098352176162)</f>
        <v>0</v>
      </c>
      <c r="AL639" s="42" t="s">
        <v>13</v>
      </c>
      <c r="AQ639" s="41">
        <f t="shared" si="601"/>
        <v>0</v>
      </c>
      <c r="AR639" s="41">
        <f t="shared" si="602"/>
        <v>0</v>
      </c>
      <c r="AS639" s="41">
        <f t="shared" si="603"/>
        <v>0</v>
      </c>
      <c r="AT639" s="44" t="s">
        <v>2444</v>
      </c>
      <c r="AU639" s="44" t="s">
        <v>2482</v>
      </c>
      <c r="AV639" s="31" t="s">
        <v>2486</v>
      </c>
      <c r="AX639" s="41">
        <f t="shared" si="604"/>
        <v>0</v>
      </c>
      <c r="AY639" s="41">
        <f t="shared" si="605"/>
        <v>0</v>
      </c>
      <c r="AZ639" s="41">
        <v>0</v>
      </c>
      <c r="BA639" s="41">
        <f t="shared" si="606"/>
        <v>0</v>
      </c>
      <c r="BC639" s="21">
        <f t="shared" si="607"/>
        <v>0</v>
      </c>
      <c r="BD639" s="21">
        <f t="shared" si="608"/>
        <v>0</v>
      </c>
      <c r="BE639" s="21">
        <f t="shared" si="609"/>
        <v>0</v>
      </c>
      <c r="BF639" s="21" t="s">
        <v>2492</v>
      </c>
      <c r="BG639" s="41">
        <v>7669</v>
      </c>
    </row>
    <row r="640" spans="1:59" x14ac:dyDescent="0.3">
      <c r="A640" s="4" t="s">
        <v>629</v>
      </c>
      <c r="B640" s="13"/>
      <c r="C640" s="13" t="s">
        <v>1247</v>
      </c>
      <c r="D640" s="101" t="s">
        <v>2027</v>
      </c>
      <c r="E640" s="102"/>
      <c r="F640" s="13" t="s">
        <v>2391</v>
      </c>
      <c r="G640" s="21">
        <v>2</v>
      </c>
      <c r="H640" s="21">
        <v>0</v>
      </c>
      <c r="I640" s="21">
        <f t="shared" si="586"/>
        <v>0</v>
      </c>
      <c r="J640" s="21">
        <f t="shared" si="587"/>
        <v>0</v>
      </c>
      <c r="K640" s="21">
        <f t="shared" si="588"/>
        <v>0</v>
      </c>
      <c r="L640" s="21">
        <v>0</v>
      </c>
      <c r="M640" s="21">
        <f t="shared" si="589"/>
        <v>0</v>
      </c>
      <c r="N640" s="35" t="s">
        <v>2417</v>
      </c>
      <c r="O640" s="39"/>
      <c r="U640" s="41">
        <f t="shared" si="590"/>
        <v>0</v>
      </c>
      <c r="W640" s="41">
        <f t="shared" si="591"/>
        <v>0</v>
      </c>
      <c r="X640" s="41">
        <f t="shared" si="592"/>
        <v>0</v>
      </c>
      <c r="Y640" s="41">
        <f t="shared" si="593"/>
        <v>0</v>
      </c>
      <c r="Z640" s="41">
        <f t="shared" si="594"/>
        <v>0</v>
      </c>
      <c r="AA640" s="41">
        <f t="shared" si="595"/>
        <v>0</v>
      </c>
      <c r="AB640" s="41">
        <f t="shared" si="596"/>
        <v>0</v>
      </c>
      <c r="AC640" s="41">
        <f t="shared" si="597"/>
        <v>0</v>
      </c>
      <c r="AD640" s="31"/>
      <c r="AE640" s="21">
        <f t="shared" si="598"/>
        <v>0</v>
      </c>
      <c r="AF640" s="21">
        <f t="shared" si="599"/>
        <v>0</v>
      </c>
      <c r="AG640" s="21">
        <f t="shared" si="600"/>
        <v>0</v>
      </c>
      <c r="AI640" s="41">
        <v>21</v>
      </c>
      <c r="AJ640" s="41">
        <f>H640*0.793098352176162</f>
        <v>0</v>
      </c>
      <c r="AK640" s="41">
        <f>H640*(1-0.793098352176162)</f>
        <v>0</v>
      </c>
      <c r="AL640" s="42" t="s">
        <v>13</v>
      </c>
      <c r="AQ640" s="41">
        <f t="shared" si="601"/>
        <v>0</v>
      </c>
      <c r="AR640" s="41">
        <f t="shared" si="602"/>
        <v>0</v>
      </c>
      <c r="AS640" s="41">
        <f t="shared" si="603"/>
        <v>0</v>
      </c>
      <c r="AT640" s="44" t="s">
        <v>2444</v>
      </c>
      <c r="AU640" s="44" t="s">
        <v>2482</v>
      </c>
      <c r="AV640" s="31" t="s">
        <v>2486</v>
      </c>
      <c r="AX640" s="41">
        <f t="shared" si="604"/>
        <v>0</v>
      </c>
      <c r="AY640" s="41">
        <f t="shared" si="605"/>
        <v>0</v>
      </c>
      <c r="AZ640" s="41">
        <v>0</v>
      </c>
      <c r="BA640" s="41">
        <f t="shared" si="606"/>
        <v>0</v>
      </c>
      <c r="BC640" s="21">
        <f t="shared" si="607"/>
        <v>0</v>
      </c>
      <c r="BD640" s="21">
        <f t="shared" si="608"/>
        <v>0</v>
      </c>
      <c r="BE640" s="21">
        <f t="shared" si="609"/>
        <v>0</v>
      </c>
      <c r="BF640" s="21" t="s">
        <v>2492</v>
      </c>
      <c r="BG640" s="41">
        <v>7669</v>
      </c>
    </row>
    <row r="641" spans="1:59" x14ac:dyDescent="0.3">
      <c r="A641" s="4" t="s">
        <v>630</v>
      </c>
      <c r="B641" s="13"/>
      <c r="C641" s="13" t="s">
        <v>1248</v>
      </c>
      <c r="D641" s="101" t="s">
        <v>2028</v>
      </c>
      <c r="E641" s="102"/>
      <c r="F641" s="13" t="s">
        <v>2391</v>
      </c>
      <c r="G641" s="21">
        <v>1</v>
      </c>
      <c r="H641" s="21">
        <v>0</v>
      </c>
      <c r="I641" s="21">
        <f t="shared" si="586"/>
        <v>0</v>
      </c>
      <c r="J641" s="21">
        <f t="shared" si="587"/>
        <v>0</v>
      </c>
      <c r="K641" s="21">
        <f t="shared" si="588"/>
        <v>0</v>
      </c>
      <c r="L641" s="21">
        <v>0</v>
      </c>
      <c r="M641" s="21">
        <f t="shared" si="589"/>
        <v>0</v>
      </c>
      <c r="N641" s="35" t="s">
        <v>2417</v>
      </c>
      <c r="O641" s="39"/>
      <c r="U641" s="41">
        <f t="shared" si="590"/>
        <v>0</v>
      </c>
      <c r="W641" s="41">
        <f t="shared" si="591"/>
        <v>0</v>
      </c>
      <c r="X641" s="41">
        <f t="shared" si="592"/>
        <v>0</v>
      </c>
      <c r="Y641" s="41">
        <f t="shared" si="593"/>
        <v>0</v>
      </c>
      <c r="Z641" s="41">
        <f t="shared" si="594"/>
        <v>0</v>
      </c>
      <c r="AA641" s="41">
        <f t="shared" si="595"/>
        <v>0</v>
      </c>
      <c r="AB641" s="41">
        <f t="shared" si="596"/>
        <v>0</v>
      </c>
      <c r="AC641" s="41">
        <f t="shared" si="597"/>
        <v>0</v>
      </c>
      <c r="AD641" s="31"/>
      <c r="AE641" s="21">
        <f t="shared" si="598"/>
        <v>0</v>
      </c>
      <c r="AF641" s="21">
        <f t="shared" si="599"/>
        <v>0</v>
      </c>
      <c r="AG641" s="21">
        <f t="shared" si="600"/>
        <v>0</v>
      </c>
      <c r="AI641" s="41">
        <v>21</v>
      </c>
      <c r="AJ641" s="41">
        <f>H641*0.813640226372792</f>
        <v>0</v>
      </c>
      <c r="AK641" s="41">
        <f>H641*(1-0.813640226372792)</f>
        <v>0</v>
      </c>
      <c r="AL641" s="42" t="s">
        <v>13</v>
      </c>
      <c r="AQ641" s="41">
        <f t="shared" si="601"/>
        <v>0</v>
      </c>
      <c r="AR641" s="41">
        <f t="shared" si="602"/>
        <v>0</v>
      </c>
      <c r="AS641" s="41">
        <f t="shared" si="603"/>
        <v>0</v>
      </c>
      <c r="AT641" s="44" t="s">
        <v>2444</v>
      </c>
      <c r="AU641" s="44" t="s">
        <v>2482</v>
      </c>
      <c r="AV641" s="31" t="s">
        <v>2486</v>
      </c>
      <c r="AX641" s="41">
        <f t="shared" si="604"/>
        <v>0</v>
      </c>
      <c r="AY641" s="41">
        <f t="shared" si="605"/>
        <v>0</v>
      </c>
      <c r="AZ641" s="41">
        <v>0</v>
      </c>
      <c r="BA641" s="41">
        <f t="shared" si="606"/>
        <v>0</v>
      </c>
      <c r="BC641" s="21">
        <f t="shared" si="607"/>
        <v>0</v>
      </c>
      <c r="BD641" s="21">
        <f t="shared" si="608"/>
        <v>0</v>
      </c>
      <c r="BE641" s="21">
        <f t="shared" si="609"/>
        <v>0</v>
      </c>
      <c r="BF641" s="21" t="s">
        <v>2492</v>
      </c>
      <c r="BG641" s="41">
        <v>7669</v>
      </c>
    </row>
    <row r="642" spans="1:59" x14ac:dyDescent="0.3">
      <c r="A642" s="4" t="s">
        <v>631</v>
      </c>
      <c r="B642" s="13"/>
      <c r="C642" s="13" t="s">
        <v>1249</v>
      </c>
      <c r="D642" s="101" t="s">
        <v>2029</v>
      </c>
      <c r="E642" s="102"/>
      <c r="F642" s="13" t="s">
        <v>2391</v>
      </c>
      <c r="G642" s="21">
        <v>1</v>
      </c>
      <c r="H642" s="21">
        <v>0</v>
      </c>
      <c r="I642" s="21">
        <f t="shared" si="586"/>
        <v>0</v>
      </c>
      <c r="J642" s="21">
        <f t="shared" si="587"/>
        <v>0</v>
      </c>
      <c r="K642" s="21">
        <f t="shared" si="588"/>
        <v>0</v>
      </c>
      <c r="L642" s="21">
        <v>0</v>
      </c>
      <c r="M642" s="21">
        <f t="shared" si="589"/>
        <v>0</v>
      </c>
      <c r="N642" s="35" t="s">
        <v>2417</v>
      </c>
      <c r="O642" s="39"/>
      <c r="U642" s="41">
        <f t="shared" si="590"/>
        <v>0</v>
      </c>
      <c r="W642" s="41">
        <f t="shared" si="591"/>
        <v>0</v>
      </c>
      <c r="X642" s="41">
        <f t="shared" si="592"/>
        <v>0</v>
      </c>
      <c r="Y642" s="41">
        <f t="shared" si="593"/>
        <v>0</v>
      </c>
      <c r="Z642" s="41">
        <f t="shared" si="594"/>
        <v>0</v>
      </c>
      <c r="AA642" s="41">
        <f t="shared" si="595"/>
        <v>0</v>
      </c>
      <c r="AB642" s="41">
        <f t="shared" si="596"/>
        <v>0</v>
      </c>
      <c r="AC642" s="41">
        <f t="shared" si="597"/>
        <v>0</v>
      </c>
      <c r="AD642" s="31"/>
      <c r="AE642" s="21">
        <f t="shared" si="598"/>
        <v>0</v>
      </c>
      <c r="AF642" s="21">
        <f t="shared" si="599"/>
        <v>0</v>
      </c>
      <c r="AG642" s="21">
        <f t="shared" si="600"/>
        <v>0</v>
      </c>
      <c r="AI642" s="41">
        <v>21</v>
      </c>
      <c r="AJ642" s="41">
        <f>H642*0.797521079501902</f>
        <v>0</v>
      </c>
      <c r="AK642" s="41">
        <f>H642*(1-0.797521079501902)</f>
        <v>0</v>
      </c>
      <c r="AL642" s="42" t="s">
        <v>13</v>
      </c>
      <c r="AQ642" s="41">
        <f t="shared" si="601"/>
        <v>0</v>
      </c>
      <c r="AR642" s="41">
        <f t="shared" si="602"/>
        <v>0</v>
      </c>
      <c r="AS642" s="41">
        <f t="shared" si="603"/>
        <v>0</v>
      </c>
      <c r="AT642" s="44" t="s">
        <v>2444</v>
      </c>
      <c r="AU642" s="44" t="s">
        <v>2482</v>
      </c>
      <c r="AV642" s="31" t="s">
        <v>2486</v>
      </c>
      <c r="AX642" s="41">
        <f t="shared" si="604"/>
        <v>0</v>
      </c>
      <c r="AY642" s="41">
        <f t="shared" si="605"/>
        <v>0</v>
      </c>
      <c r="AZ642" s="41">
        <v>0</v>
      </c>
      <c r="BA642" s="41">
        <f t="shared" si="606"/>
        <v>0</v>
      </c>
      <c r="BC642" s="21">
        <f t="shared" si="607"/>
        <v>0</v>
      </c>
      <c r="BD642" s="21">
        <f t="shared" si="608"/>
        <v>0</v>
      </c>
      <c r="BE642" s="21">
        <f t="shared" si="609"/>
        <v>0</v>
      </c>
      <c r="BF642" s="21" t="s">
        <v>2492</v>
      </c>
      <c r="BG642" s="41">
        <v>7669</v>
      </c>
    </row>
    <row r="643" spans="1:59" x14ac:dyDescent="0.3">
      <c r="A643" s="4" t="s">
        <v>632</v>
      </c>
      <c r="B643" s="13"/>
      <c r="C643" s="13" t="s">
        <v>1250</v>
      </c>
      <c r="D643" s="101" t="s">
        <v>2030</v>
      </c>
      <c r="E643" s="102"/>
      <c r="F643" s="13" t="s">
        <v>2391</v>
      </c>
      <c r="G643" s="21">
        <v>1</v>
      </c>
      <c r="H643" s="21">
        <v>0</v>
      </c>
      <c r="I643" s="21">
        <f t="shared" si="586"/>
        <v>0</v>
      </c>
      <c r="J643" s="21">
        <f t="shared" si="587"/>
        <v>0</v>
      </c>
      <c r="K643" s="21">
        <f t="shared" si="588"/>
        <v>0</v>
      </c>
      <c r="L643" s="21">
        <v>0</v>
      </c>
      <c r="M643" s="21">
        <f t="shared" si="589"/>
        <v>0</v>
      </c>
      <c r="N643" s="35" t="s">
        <v>2417</v>
      </c>
      <c r="O643" s="39"/>
      <c r="U643" s="41">
        <f t="shared" si="590"/>
        <v>0</v>
      </c>
      <c r="W643" s="41">
        <f t="shared" si="591"/>
        <v>0</v>
      </c>
      <c r="X643" s="41">
        <f t="shared" si="592"/>
        <v>0</v>
      </c>
      <c r="Y643" s="41">
        <f t="shared" si="593"/>
        <v>0</v>
      </c>
      <c r="Z643" s="41">
        <f t="shared" si="594"/>
        <v>0</v>
      </c>
      <c r="AA643" s="41">
        <f t="shared" si="595"/>
        <v>0</v>
      </c>
      <c r="AB643" s="41">
        <f t="shared" si="596"/>
        <v>0</v>
      </c>
      <c r="AC643" s="41">
        <f t="shared" si="597"/>
        <v>0</v>
      </c>
      <c r="AD643" s="31"/>
      <c r="AE643" s="21">
        <f t="shared" si="598"/>
        <v>0</v>
      </c>
      <c r="AF643" s="21">
        <f t="shared" si="599"/>
        <v>0</v>
      </c>
      <c r="AG643" s="21">
        <f t="shared" si="600"/>
        <v>0</v>
      </c>
      <c r="AI643" s="41">
        <v>21</v>
      </c>
      <c r="AJ643" s="41">
        <f>H643*0.731991667377295</f>
        <v>0</v>
      </c>
      <c r="AK643" s="41">
        <f>H643*(1-0.731991667377295)</f>
        <v>0</v>
      </c>
      <c r="AL643" s="42" t="s">
        <v>13</v>
      </c>
      <c r="AQ643" s="41">
        <f t="shared" si="601"/>
        <v>0</v>
      </c>
      <c r="AR643" s="41">
        <f t="shared" si="602"/>
        <v>0</v>
      </c>
      <c r="AS643" s="41">
        <f t="shared" si="603"/>
        <v>0</v>
      </c>
      <c r="AT643" s="44" t="s">
        <v>2444</v>
      </c>
      <c r="AU643" s="44" t="s">
        <v>2482</v>
      </c>
      <c r="AV643" s="31" t="s">
        <v>2486</v>
      </c>
      <c r="AX643" s="41">
        <f t="shared" si="604"/>
        <v>0</v>
      </c>
      <c r="AY643" s="41">
        <f t="shared" si="605"/>
        <v>0</v>
      </c>
      <c r="AZ643" s="41">
        <v>0</v>
      </c>
      <c r="BA643" s="41">
        <f t="shared" si="606"/>
        <v>0</v>
      </c>
      <c r="BC643" s="21">
        <f t="shared" si="607"/>
        <v>0</v>
      </c>
      <c r="BD643" s="21">
        <f t="shared" si="608"/>
        <v>0</v>
      </c>
      <c r="BE643" s="21">
        <f t="shared" si="609"/>
        <v>0</v>
      </c>
      <c r="BF643" s="21" t="s">
        <v>2492</v>
      </c>
      <c r="BG643" s="41">
        <v>7669</v>
      </c>
    </row>
    <row r="644" spans="1:59" x14ac:dyDescent="0.3">
      <c r="A644" s="4" t="s">
        <v>633</v>
      </c>
      <c r="B644" s="13"/>
      <c r="C644" s="13" t="s">
        <v>1251</v>
      </c>
      <c r="D644" s="101" t="s">
        <v>2031</v>
      </c>
      <c r="E644" s="102"/>
      <c r="F644" s="13" t="s">
        <v>2391</v>
      </c>
      <c r="G644" s="21">
        <v>1</v>
      </c>
      <c r="H644" s="21">
        <v>0</v>
      </c>
      <c r="I644" s="21">
        <f t="shared" si="586"/>
        <v>0</v>
      </c>
      <c r="J644" s="21">
        <f t="shared" si="587"/>
        <v>0</v>
      </c>
      <c r="K644" s="21">
        <f t="shared" si="588"/>
        <v>0</v>
      </c>
      <c r="L644" s="21">
        <v>0</v>
      </c>
      <c r="M644" s="21">
        <f t="shared" si="589"/>
        <v>0</v>
      </c>
      <c r="N644" s="35" t="s">
        <v>2417</v>
      </c>
      <c r="O644" s="39"/>
      <c r="U644" s="41">
        <f t="shared" si="590"/>
        <v>0</v>
      </c>
      <c r="W644" s="41">
        <f t="shared" si="591"/>
        <v>0</v>
      </c>
      <c r="X644" s="41">
        <f t="shared" si="592"/>
        <v>0</v>
      </c>
      <c r="Y644" s="41">
        <f t="shared" si="593"/>
        <v>0</v>
      </c>
      <c r="Z644" s="41">
        <f t="shared" si="594"/>
        <v>0</v>
      </c>
      <c r="AA644" s="41">
        <f t="shared" si="595"/>
        <v>0</v>
      </c>
      <c r="AB644" s="41">
        <f t="shared" si="596"/>
        <v>0</v>
      </c>
      <c r="AC644" s="41">
        <f t="shared" si="597"/>
        <v>0</v>
      </c>
      <c r="AD644" s="31"/>
      <c r="AE644" s="21">
        <f t="shared" si="598"/>
        <v>0</v>
      </c>
      <c r="AF644" s="21">
        <f t="shared" si="599"/>
        <v>0</v>
      </c>
      <c r="AG644" s="21">
        <f t="shared" si="600"/>
        <v>0</v>
      </c>
      <c r="AI644" s="41">
        <v>21</v>
      </c>
      <c r="AJ644" s="41">
        <f>H644*0.686295145670367</f>
        <v>0</v>
      </c>
      <c r="AK644" s="41">
        <f>H644*(1-0.686295145670367)</f>
        <v>0</v>
      </c>
      <c r="AL644" s="42" t="s">
        <v>13</v>
      </c>
      <c r="AQ644" s="41">
        <f t="shared" si="601"/>
        <v>0</v>
      </c>
      <c r="AR644" s="41">
        <f t="shared" si="602"/>
        <v>0</v>
      </c>
      <c r="AS644" s="41">
        <f t="shared" si="603"/>
        <v>0</v>
      </c>
      <c r="AT644" s="44" t="s">
        <v>2444</v>
      </c>
      <c r="AU644" s="44" t="s">
        <v>2482</v>
      </c>
      <c r="AV644" s="31" t="s">
        <v>2486</v>
      </c>
      <c r="AX644" s="41">
        <f t="shared" si="604"/>
        <v>0</v>
      </c>
      <c r="AY644" s="41">
        <f t="shared" si="605"/>
        <v>0</v>
      </c>
      <c r="AZ644" s="41">
        <v>0</v>
      </c>
      <c r="BA644" s="41">
        <f t="shared" si="606"/>
        <v>0</v>
      </c>
      <c r="BC644" s="21">
        <f t="shared" si="607"/>
        <v>0</v>
      </c>
      <c r="BD644" s="21">
        <f t="shared" si="608"/>
        <v>0</v>
      </c>
      <c r="BE644" s="21">
        <f t="shared" si="609"/>
        <v>0</v>
      </c>
      <c r="BF644" s="21" t="s">
        <v>2492</v>
      </c>
      <c r="BG644" s="41">
        <v>7669</v>
      </c>
    </row>
    <row r="645" spans="1:59" x14ac:dyDescent="0.3">
      <c r="A645" s="4" t="s">
        <v>634</v>
      </c>
      <c r="B645" s="13"/>
      <c r="C645" s="13" t="s">
        <v>1171</v>
      </c>
      <c r="D645" s="101" t="s">
        <v>2032</v>
      </c>
      <c r="E645" s="102"/>
      <c r="F645" s="13" t="s">
        <v>2391</v>
      </c>
      <c r="G645" s="21">
        <v>3</v>
      </c>
      <c r="H645" s="21">
        <v>0</v>
      </c>
      <c r="I645" s="21">
        <f t="shared" si="586"/>
        <v>0</v>
      </c>
      <c r="J645" s="21">
        <f t="shared" si="587"/>
        <v>0</v>
      </c>
      <c r="K645" s="21">
        <f t="shared" si="588"/>
        <v>0</v>
      </c>
      <c r="L645" s="21">
        <v>1.9000000000000001E-4</v>
      </c>
      <c r="M645" s="21">
        <f t="shared" si="589"/>
        <v>5.6999999999999998E-4</v>
      </c>
      <c r="N645" s="35" t="s">
        <v>2417</v>
      </c>
      <c r="O645" s="39"/>
      <c r="U645" s="41">
        <f t="shared" si="590"/>
        <v>0</v>
      </c>
      <c r="W645" s="41">
        <f t="shared" si="591"/>
        <v>0</v>
      </c>
      <c r="X645" s="41">
        <f t="shared" si="592"/>
        <v>0</v>
      </c>
      <c r="Y645" s="41">
        <f t="shared" si="593"/>
        <v>0</v>
      </c>
      <c r="Z645" s="41">
        <f t="shared" si="594"/>
        <v>0</v>
      </c>
      <c r="AA645" s="41">
        <f t="shared" si="595"/>
        <v>0</v>
      </c>
      <c r="AB645" s="41">
        <f t="shared" si="596"/>
        <v>0</v>
      </c>
      <c r="AC645" s="41">
        <f t="shared" si="597"/>
        <v>0</v>
      </c>
      <c r="AD645" s="31"/>
      <c r="AE645" s="21">
        <f t="shared" si="598"/>
        <v>0</v>
      </c>
      <c r="AF645" s="21">
        <f t="shared" si="599"/>
        <v>0</v>
      </c>
      <c r="AG645" s="21">
        <f t="shared" si="600"/>
        <v>0</v>
      </c>
      <c r="AI645" s="41">
        <v>21</v>
      </c>
      <c r="AJ645" s="41">
        <f>H645*0.931045349070387</f>
        <v>0</v>
      </c>
      <c r="AK645" s="41">
        <f>H645*(1-0.931045349070387)</f>
        <v>0</v>
      </c>
      <c r="AL645" s="42" t="s">
        <v>13</v>
      </c>
      <c r="AQ645" s="41">
        <f t="shared" si="601"/>
        <v>0</v>
      </c>
      <c r="AR645" s="41">
        <f t="shared" si="602"/>
        <v>0</v>
      </c>
      <c r="AS645" s="41">
        <f t="shared" si="603"/>
        <v>0</v>
      </c>
      <c r="AT645" s="44" t="s">
        <v>2444</v>
      </c>
      <c r="AU645" s="44" t="s">
        <v>2482</v>
      </c>
      <c r="AV645" s="31" t="s">
        <v>2486</v>
      </c>
      <c r="AX645" s="41">
        <f t="shared" si="604"/>
        <v>0</v>
      </c>
      <c r="AY645" s="41">
        <f t="shared" si="605"/>
        <v>0</v>
      </c>
      <c r="AZ645" s="41">
        <v>0</v>
      </c>
      <c r="BA645" s="41">
        <f t="shared" si="606"/>
        <v>5.6999999999999998E-4</v>
      </c>
      <c r="BC645" s="21">
        <f t="shared" si="607"/>
        <v>0</v>
      </c>
      <c r="BD645" s="21">
        <f t="shared" si="608"/>
        <v>0</v>
      </c>
      <c r="BE645" s="21">
        <f t="shared" si="609"/>
        <v>0</v>
      </c>
      <c r="BF645" s="21" t="s">
        <v>2492</v>
      </c>
      <c r="BG645" s="41">
        <v>7669</v>
      </c>
    </row>
    <row r="646" spans="1:59" x14ac:dyDescent="0.3">
      <c r="A646" s="4" t="s">
        <v>635</v>
      </c>
      <c r="B646" s="13"/>
      <c r="C646" s="13" t="s">
        <v>1172</v>
      </c>
      <c r="D646" s="101" t="s">
        <v>2033</v>
      </c>
      <c r="E646" s="102"/>
      <c r="F646" s="13" t="s">
        <v>2391</v>
      </c>
      <c r="G646" s="21">
        <v>1</v>
      </c>
      <c r="H646" s="21">
        <v>0</v>
      </c>
      <c r="I646" s="21">
        <f t="shared" si="586"/>
        <v>0</v>
      </c>
      <c r="J646" s="21">
        <f t="shared" si="587"/>
        <v>0</v>
      </c>
      <c r="K646" s="21">
        <f t="shared" si="588"/>
        <v>0</v>
      </c>
      <c r="L646" s="21">
        <v>1.9000000000000001E-4</v>
      </c>
      <c r="M646" s="21">
        <f t="shared" si="589"/>
        <v>1.9000000000000001E-4</v>
      </c>
      <c r="N646" s="35" t="s">
        <v>2417</v>
      </c>
      <c r="O646" s="39"/>
      <c r="U646" s="41">
        <f t="shared" si="590"/>
        <v>0</v>
      </c>
      <c r="W646" s="41">
        <f t="shared" si="591"/>
        <v>0</v>
      </c>
      <c r="X646" s="41">
        <f t="shared" si="592"/>
        <v>0</v>
      </c>
      <c r="Y646" s="41">
        <f t="shared" si="593"/>
        <v>0</v>
      </c>
      <c r="Z646" s="41">
        <f t="shared" si="594"/>
        <v>0</v>
      </c>
      <c r="AA646" s="41">
        <f t="shared" si="595"/>
        <v>0</v>
      </c>
      <c r="AB646" s="41">
        <f t="shared" si="596"/>
        <v>0</v>
      </c>
      <c r="AC646" s="41">
        <f t="shared" si="597"/>
        <v>0</v>
      </c>
      <c r="AD646" s="31"/>
      <c r="AE646" s="21">
        <f t="shared" si="598"/>
        <v>0</v>
      </c>
      <c r="AF646" s="21">
        <f t="shared" si="599"/>
        <v>0</v>
      </c>
      <c r="AG646" s="21">
        <f t="shared" si="600"/>
        <v>0</v>
      </c>
      <c r="AI646" s="41">
        <v>21</v>
      </c>
      <c r="AJ646" s="41">
        <f>H646*0.977650900416479</f>
        <v>0</v>
      </c>
      <c r="AK646" s="41">
        <f>H646*(1-0.977650900416479)</f>
        <v>0</v>
      </c>
      <c r="AL646" s="42" t="s">
        <v>13</v>
      </c>
      <c r="AQ646" s="41">
        <f t="shared" si="601"/>
        <v>0</v>
      </c>
      <c r="AR646" s="41">
        <f t="shared" si="602"/>
        <v>0</v>
      </c>
      <c r="AS646" s="41">
        <f t="shared" si="603"/>
        <v>0</v>
      </c>
      <c r="AT646" s="44" t="s">
        <v>2444</v>
      </c>
      <c r="AU646" s="44" t="s">
        <v>2482</v>
      </c>
      <c r="AV646" s="31" t="s">
        <v>2486</v>
      </c>
      <c r="AX646" s="41">
        <f t="shared" si="604"/>
        <v>0</v>
      </c>
      <c r="AY646" s="41">
        <f t="shared" si="605"/>
        <v>0</v>
      </c>
      <c r="AZ646" s="41">
        <v>0</v>
      </c>
      <c r="BA646" s="41">
        <f t="shared" si="606"/>
        <v>1.9000000000000001E-4</v>
      </c>
      <c r="BC646" s="21">
        <f t="shared" si="607"/>
        <v>0</v>
      </c>
      <c r="BD646" s="21">
        <f t="shared" si="608"/>
        <v>0</v>
      </c>
      <c r="BE646" s="21">
        <f t="shared" si="609"/>
        <v>0</v>
      </c>
      <c r="BF646" s="21" t="s">
        <v>2492</v>
      </c>
      <c r="BG646" s="41">
        <v>7669</v>
      </c>
    </row>
    <row r="647" spans="1:59" x14ac:dyDescent="0.3">
      <c r="A647" s="4" t="s">
        <v>636</v>
      </c>
      <c r="B647" s="13"/>
      <c r="C647" s="13" t="s">
        <v>1173</v>
      </c>
      <c r="D647" s="101" t="s">
        <v>2034</v>
      </c>
      <c r="E647" s="102"/>
      <c r="F647" s="13" t="s">
        <v>2391</v>
      </c>
      <c r="G647" s="21">
        <v>5</v>
      </c>
      <c r="H647" s="21">
        <v>0</v>
      </c>
      <c r="I647" s="21">
        <f t="shared" si="586"/>
        <v>0</v>
      </c>
      <c r="J647" s="21">
        <f t="shared" si="587"/>
        <v>0</v>
      </c>
      <c r="K647" s="21">
        <f t="shared" si="588"/>
        <v>0</v>
      </c>
      <c r="L647" s="21">
        <v>1.9000000000000001E-4</v>
      </c>
      <c r="M647" s="21">
        <f t="shared" si="589"/>
        <v>9.5000000000000011E-4</v>
      </c>
      <c r="N647" s="35" t="s">
        <v>2417</v>
      </c>
      <c r="O647" s="39"/>
      <c r="U647" s="41">
        <f t="shared" si="590"/>
        <v>0</v>
      </c>
      <c r="W647" s="41">
        <f t="shared" si="591"/>
        <v>0</v>
      </c>
      <c r="X647" s="41">
        <f t="shared" si="592"/>
        <v>0</v>
      </c>
      <c r="Y647" s="41">
        <f t="shared" si="593"/>
        <v>0</v>
      </c>
      <c r="Z647" s="41">
        <f t="shared" si="594"/>
        <v>0</v>
      </c>
      <c r="AA647" s="41">
        <f t="shared" si="595"/>
        <v>0</v>
      </c>
      <c r="AB647" s="41">
        <f t="shared" si="596"/>
        <v>0</v>
      </c>
      <c r="AC647" s="41">
        <f t="shared" si="597"/>
        <v>0</v>
      </c>
      <c r="AD647" s="31"/>
      <c r="AE647" s="21">
        <f t="shared" si="598"/>
        <v>0</v>
      </c>
      <c r="AF647" s="21">
        <f t="shared" si="599"/>
        <v>0</v>
      </c>
      <c r="AG647" s="21">
        <f t="shared" si="600"/>
        <v>0</v>
      </c>
      <c r="AI647" s="41">
        <v>21</v>
      </c>
      <c r="AJ647" s="41">
        <f>H647*0.920217171252416</f>
        <v>0</v>
      </c>
      <c r="AK647" s="41">
        <f>H647*(1-0.920217171252416)</f>
        <v>0</v>
      </c>
      <c r="AL647" s="42" t="s">
        <v>13</v>
      </c>
      <c r="AQ647" s="41">
        <f t="shared" si="601"/>
        <v>0</v>
      </c>
      <c r="AR647" s="41">
        <f t="shared" si="602"/>
        <v>0</v>
      </c>
      <c r="AS647" s="41">
        <f t="shared" si="603"/>
        <v>0</v>
      </c>
      <c r="AT647" s="44" t="s">
        <v>2444</v>
      </c>
      <c r="AU647" s="44" t="s">
        <v>2482</v>
      </c>
      <c r="AV647" s="31" t="s">
        <v>2486</v>
      </c>
      <c r="AX647" s="41">
        <f t="shared" si="604"/>
        <v>0</v>
      </c>
      <c r="AY647" s="41">
        <f t="shared" si="605"/>
        <v>0</v>
      </c>
      <c r="AZ647" s="41">
        <v>0</v>
      </c>
      <c r="BA647" s="41">
        <f t="shared" si="606"/>
        <v>9.5000000000000011E-4</v>
      </c>
      <c r="BC647" s="21">
        <f t="shared" si="607"/>
        <v>0</v>
      </c>
      <c r="BD647" s="21">
        <f t="shared" si="608"/>
        <v>0</v>
      </c>
      <c r="BE647" s="21">
        <f t="shared" si="609"/>
        <v>0</v>
      </c>
      <c r="BF647" s="21" t="s">
        <v>2492</v>
      </c>
      <c r="BG647" s="41">
        <v>7669</v>
      </c>
    </row>
    <row r="648" spans="1:59" x14ac:dyDescent="0.3">
      <c r="A648" s="5"/>
      <c r="B648" s="14"/>
      <c r="C648" s="14" t="s">
        <v>769</v>
      </c>
      <c r="D648" s="103" t="s">
        <v>2035</v>
      </c>
      <c r="E648" s="104"/>
      <c r="F648" s="19" t="s">
        <v>6</v>
      </c>
      <c r="G648" s="19" t="s">
        <v>6</v>
      </c>
      <c r="H648" s="19" t="s">
        <v>6</v>
      </c>
      <c r="I648" s="47">
        <f>SUM(I649:I668)</f>
        <v>0</v>
      </c>
      <c r="J648" s="47">
        <f>SUM(J649:J668)</f>
        <v>0</v>
      </c>
      <c r="K648" s="47">
        <f>SUM(K649:K668)</f>
        <v>0</v>
      </c>
      <c r="L648" s="31"/>
      <c r="M648" s="47">
        <f>SUM(M649:M668)</f>
        <v>42.253500000000017</v>
      </c>
      <c r="N648" s="36"/>
      <c r="O648" s="39"/>
      <c r="AD648" s="31"/>
      <c r="AN648" s="47">
        <f>SUM(AE649:AE668)</f>
        <v>0</v>
      </c>
      <c r="AO648" s="47">
        <f>SUM(AF649:AF668)</f>
        <v>0</v>
      </c>
      <c r="AP648" s="47">
        <f>SUM(AG649:AG668)</f>
        <v>0</v>
      </c>
    </row>
    <row r="649" spans="1:59" x14ac:dyDescent="0.3">
      <c r="A649" s="4" t="s">
        <v>637</v>
      </c>
      <c r="B649" s="13"/>
      <c r="C649" s="13" t="s">
        <v>1252</v>
      </c>
      <c r="D649" s="101" t="s">
        <v>2036</v>
      </c>
      <c r="E649" s="102"/>
      <c r="F649" s="13" t="s">
        <v>2387</v>
      </c>
      <c r="G649" s="21">
        <v>1459.57</v>
      </c>
      <c r="H649" s="21">
        <v>0</v>
      </c>
      <c r="I649" s="21">
        <f t="shared" ref="I649:I668" si="610">G649*AJ649</f>
        <v>0</v>
      </c>
      <c r="J649" s="21">
        <f t="shared" ref="J649:J668" si="611">G649*AK649</f>
        <v>0</v>
      </c>
      <c r="K649" s="21">
        <f t="shared" ref="K649:K668" si="612">G649*H649</f>
        <v>0</v>
      </c>
      <c r="L649" s="21">
        <v>2.8000000000000001E-2</v>
      </c>
      <c r="M649" s="21">
        <f t="shared" ref="M649:M668" si="613">G649*L649</f>
        <v>40.867959999999997</v>
      </c>
      <c r="N649" s="35" t="s">
        <v>2417</v>
      </c>
      <c r="O649" s="39"/>
      <c r="U649" s="41">
        <f t="shared" ref="U649:U668" si="614">IF(AL649="5",BE649,0)</f>
        <v>0</v>
      </c>
      <c r="W649" s="41">
        <f t="shared" ref="W649:W668" si="615">IF(AL649="1",BC649,0)</f>
        <v>0</v>
      </c>
      <c r="X649" s="41">
        <f t="shared" ref="X649:X668" si="616">IF(AL649="1",BD649,0)</f>
        <v>0</v>
      </c>
      <c r="Y649" s="41">
        <f t="shared" ref="Y649:Y668" si="617">IF(AL649="7",BC649,0)</f>
        <v>0</v>
      </c>
      <c r="Z649" s="41">
        <f t="shared" ref="Z649:Z668" si="618">IF(AL649="7",BD649,0)</f>
        <v>0</v>
      </c>
      <c r="AA649" s="41">
        <f t="shared" ref="AA649:AA668" si="619">IF(AL649="2",BC649,0)</f>
        <v>0</v>
      </c>
      <c r="AB649" s="41">
        <f t="shared" ref="AB649:AB668" si="620">IF(AL649="2",BD649,0)</f>
        <v>0</v>
      </c>
      <c r="AC649" s="41">
        <f t="shared" ref="AC649:AC668" si="621">IF(AL649="0",BE649,0)</f>
        <v>0</v>
      </c>
      <c r="AD649" s="31"/>
      <c r="AE649" s="21">
        <f t="shared" ref="AE649:AE668" si="622">IF(AI649=0,K649,0)</f>
        <v>0</v>
      </c>
      <c r="AF649" s="21">
        <f t="shared" ref="AF649:AF668" si="623">IF(AI649=15,K649,0)</f>
        <v>0</v>
      </c>
      <c r="AG649" s="21">
        <f t="shared" ref="AG649:AG668" si="624">IF(AI649=21,K649,0)</f>
        <v>0</v>
      </c>
      <c r="AI649" s="41">
        <v>21</v>
      </c>
      <c r="AJ649" s="41">
        <f>H649*0.505944851134228</f>
        <v>0</v>
      </c>
      <c r="AK649" s="41">
        <f>H649*(1-0.505944851134228)</f>
        <v>0</v>
      </c>
      <c r="AL649" s="42" t="s">
        <v>13</v>
      </c>
      <c r="AQ649" s="41">
        <f t="shared" ref="AQ649:AQ668" si="625">AR649+AS649</f>
        <v>0</v>
      </c>
      <c r="AR649" s="41">
        <f t="shared" ref="AR649:AR668" si="626">G649*AJ649</f>
        <v>0</v>
      </c>
      <c r="AS649" s="41">
        <f t="shared" ref="AS649:AS668" si="627">G649*AK649</f>
        <v>0</v>
      </c>
      <c r="AT649" s="44" t="s">
        <v>2445</v>
      </c>
      <c r="AU649" s="44" t="s">
        <v>2482</v>
      </c>
      <c r="AV649" s="31" t="s">
        <v>2486</v>
      </c>
      <c r="AX649" s="41">
        <f t="shared" ref="AX649:AX668" si="628">AR649+AS649</f>
        <v>0</v>
      </c>
      <c r="AY649" s="41">
        <f t="shared" ref="AY649:AY668" si="629">H649/(100-AZ649)*100</f>
        <v>0</v>
      </c>
      <c r="AZ649" s="41">
        <v>0</v>
      </c>
      <c r="BA649" s="41">
        <f t="shared" ref="BA649:BA668" si="630">M649</f>
        <v>40.867959999999997</v>
      </c>
      <c r="BC649" s="21">
        <f t="shared" ref="BC649:BC668" si="631">G649*AJ649</f>
        <v>0</v>
      </c>
      <c r="BD649" s="21">
        <f t="shared" ref="BD649:BD668" si="632">G649*AK649</f>
        <v>0</v>
      </c>
      <c r="BE649" s="21">
        <f t="shared" ref="BE649:BE668" si="633">G649*H649</f>
        <v>0</v>
      </c>
      <c r="BF649" s="21" t="s">
        <v>2492</v>
      </c>
      <c r="BG649" s="41">
        <v>767</v>
      </c>
    </row>
    <row r="650" spans="1:59" x14ac:dyDescent="0.3">
      <c r="A650" s="4" t="s">
        <v>638</v>
      </c>
      <c r="B650" s="13"/>
      <c r="C650" s="13" t="s">
        <v>1253</v>
      </c>
      <c r="D650" s="101" t="s">
        <v>2037</v>
      </c>
      <c r="E650" s="102"/>
      <c r="F650" s="13" t="s">
        <v>2391</v>
      </c>
      <c r="G650" s="21">
        <v>1</v>
      </c>
      <c r="H650" s="21">
        <v>0</v>
      </c>
      <c r="I650" s="21">
        <f t="shared" si="610"/>
        <v>0</v>
      </c>
      <c r="J650" s="21">
        <f t="shared" si="611"/>
        <v>0</v>
      </c>
      <c r="K650" s="21">
        <f t="shared" si="612"/>
        <v>0</v>
      </c>
      <c r="L650" s="21">
        <v>7.4999999999999997E-2</v>
      </c>
      <c r="M650" s="21">
        <f t="shared" si="613"/>
        <v>7.4999999999999997E-2</v>
      </c>
      <c r="N650" s="35" t="s">
        <v>2417</v>
      </c>
      <c r="O650" s="39"/>
      <c r="U650" s="41">
        <f t="shared" si="614"/>
        <v>0</v>
      </c>
      <c r="W650" s="41">
        <f t="shared" si="615"/>
        <v>0</v>
      </c>
      <c r="X650" s="41">
        <f t="shared" si="616"/>
        <v>0</v>
      </c>
      <c r="Y650" s="41">
        <f t="shared" si="617"/>
        <v>0</v>
      </c>
      <c r="Z650" s="41">
        <f t="shared" si="618"/>
        <v>0</v>
      </c>
      <c r="AA650" s="41">
        <f t="shared" si="619"/>
        <v>0</v>
      </c>
      <c r="AB650" s="41">
        <f t="shared" si="620"/>
        <v>0</v>
      </c>
      <c r="AC650" s="41">
        <f t="shared" si="621"/>
        <v>0</v>
      </c>
      <c r="AD650" s="31"/>
      <c r="AE650" s="21">
        <f t="shared" si="622"/>
        <v>0</v>
      </c>
      <c r="AF650" s="21">
        <f t="shared" si="623"/>
        <v>0</v>
      </c>
      <c r="AG650" s="21">
        <f t="shared" si="624"/>
        <v>0</v>
      </c>
      <c r="AI650" s="41">
        <v>21</v>
      </c>
      <c r="AJ650" s="41">
        <f>H650*0.74147305981216</f>
        <v>0</v>
      </c>
      <c r="AK650" s="41">
        <f>H650*(1-0.74147305981216)</f>
        <v>0</v>
      </c>
      <c r="AL650" s="42" t="s">
        <v>13</v>
      </c>
      <c r="AQ650" s="41">
        <f t="shared" si="625"/>
        <v>0</v>
      </c>
      <c r="AR650" s="41">
        <f t="shared" si="626"/>
        <v>0</v>
      </c>
      <c r="AS650" s="41">
        <f t="shared" si="627"/>
        <v>0</v>
      </c>
      <c r="AT650" s="44" t="s">
        <v>2445</v>
      </c>
      <c r="AU650" s="44" t="s">
        <v>2482</v>
      </c>
      <c r="AV650" s="31" t="s">
        <v>2486</v>
      </c>
      <c r="AX650" s="41">
        <f t="shared" si="628"/>
        <v>0</v>
      </c>
      <c r="AY650" s="41">
        <f t="shared" si="629"/>
        <v>0</v>
      </c>
      <c r="AZ650" s="41">
        <v>0</v>
      </c>
      <c r="BA650" s="41">
        <f t="shared" si="630"/>
        <v>7.4999999999999997E-2</v>
      </c>
      <c r="BC650" s="21">
        <f t="shared" si="631"/>
        <v>0</v>
      </c>
      <c r="BD650" s="21">
        <f t="shared" si="632"/>
        <v>0</v>
      </c>
      <c r="BE650" s="21">
        <f t="shared" si="633"/>
        <v>0</v>
      </c>
      <c r="BF650" s="21" t="s">
        <v>2492</v>
      </c>
      <c r="BG650" s="41">
        <v>767</v>
      </c>
    </row>
    <row r="651" spans="1:59" x14ac:dyDescent="0.3">
      <c r="A651" s="4" t="s">
        <v>639</v>
      </c>
      <c r="B651" s="13"/>
      <c r="C651" s="13" t="s">
        <v>1254</v>
      </c>
      <c r="D651" s="101" t="s">
        <v>2038</v>
      </c>
      <c r="E651" s="102"/>
      <c r="F651" s="13" t="s">
        <v>2391</v>
      </c>
      <c r="G651" s="21">
        <v>2</v>
      </c>
      <c r="H651" s="21">
        <v>0</v>
      </c>
      <c r="I651" s="21">
        <f t="shared" si="610"/>
        <v>0</v>
      </c>
      <c r="J651" s="21">
        <f t="shared" si="611"/>
        <v>0</v>
      </c>
      <c r="K651" s="21">
        <f t="shared" si="612"/>
        <v>0</v>
      </c>
      <c r="L651" s="21">
        <v>2.8000000000000001E-2</v>
      </c>
      <c r="M651" s="21">
        <f t="shared" si="613"/>
        <v>5.6000000000000001E-2</v>
      </c>
      <c r="N651" s="35" t="s">
        <v>2417</v>
      </c>
      <c r="O651" s="39"/>
      <c r="U651" s="41">
        <f t="shared" si="614"/>
        <v>0</v>
      </c>
      <c r="W651" s="41">
        <f t="shared" si="615"/>
        <v>0</v>
      </c>
      <c r="X651" s="41">
        <f t="shared" si="616"/>
        <v>0</v>
      </c>
      <c r="Y651" s="41">
        <f t="shared" si="617"/>
        <v>0</v>
      </c>
      <c r="Z651" s="41">
        <f t="shared" si="618"/>
        <v>0</v>
      </c>
      <c r="AA651" s="41">
        <f t="shared" si="619"/>
        <v>0</v>
      </c>
      <c r="AB651" s="41">
        <f t="shared" si="620"/>
        <v>0</v>
      </c>
      <c r="AC651" s="41">
        <f t="shared" si="621"/>
        <v>0</v>
      </c>
      <c r="AD651" s="31"/>
      <c r="AE651" s="21">
        <f t="shared" si="622"/>
        <v>0</v>
      </c>
      <c r="AF651" s="21">
        <f t="shared" si="623"/>
        <v>0</v>
      </c>
      <c r="AG651" s="21">
        <f t="shared" si="624"/>
        <v>0</v>
      </c>
      <c r="AI651" s="41">
        <v>21</v>
      </c>
      <c r="AJ651" s="41">
        <f>H651*0.872374798061389</f>
        <v>0</v>
      </c>
      <c r="AK651" s="41">
        <f>H651*(1-0.872374798061389)</f>
        <v>0</v>
      </c>
      <c r="AL651" s="42" t="s">
        <v>13</v>
      </c>
      <c r="AQ651" s="41">
        <f t="shared" si="625"/>
        <v>0</v>
      </c>
      <c r="AR651" s="41">
        <f t="shared" si="626"/>
        <v>0</v>
      </c>
      <c r="AS651" s="41">
        <f t="shared" si="627"/>
        <v>0</v>
      </c>
      <c r="AT651" s="44" t="s">
        <v>2445</v>
      </c>
      <c r="AU651" s="44" t="s">
        <v>2482</v>
      </c>
      <c r="AV651" s="31" t="s">
        <v>2486</v>
      </c>
      <c r="AX651" s="41">
        <f t="shared" si="628"/>
        <v>0</v>
      </c>
      <c r="AY651" s="41">
        <f t="shared" si="629"/>
        <v>0</v>
      </c>
      <c r="AZ651" s="41">
        <v>0</v>
      </c>
      <c r="BA651" s="41">
        <f t="shared" si="630"/>
        <v>5.6000000000000001E-2</v>
      </c>
      <c r="BC651" s="21">
        <f t="shared" si="631"/>
        <v>0</v>
      </c>
      <c r="BD651" s="21">
        <f t="shared" si="632"/>
        <v>0</v>
      </c>
      <c r="BE651" s="21">
        <f t="shared" si="633"/>
        <v>0</v>
      </c>
      <c r="BF651" s="21" t="s">
        <v>2492</v>
      </c>
      <c r="BG651" s="41">
        <v>767</v>
      </c>
    </row>
    <row r="652" spans="1:59" x14ac:dyDescent="0.3">
      <c r="A652" s="4" t="s">
        <v>640</v>
      </c>
      <c r="B652" s="13"/>
      <c r="C652" s="13" t="s">
        <v>1255</v>
      </c>
      <c r="D652" s="101" t="s">
        <v>2039</v>
      </c>
      <c r="E652" s="102"/>
      <c r="F652" s="13" t="s">
        <v>2391</v>
      </c>
      <c r="G652" s="21">
        <v>18</v>
      </c>
      <c r="H652" s="21">
        <v>0</v>
      </c>
      <c r="I652" s="21">
        <f t="shared" si="610"/>
        <v>0</v>
      </c>
      <c r="J652" s="21">
        <f t="shared" si="611"/>
        <v>0</v>
      </c>
      <c r="K652" s="21">
        <f t="shared" si="612"/>
        <v>0</v>
      </c>
      <c r="L652" s="21">
        <v>4.4999999999999998E-2</v>
      </c>
      <c r="M652" s="21">
        <f t="shared" si="613"/>
        <v>0.80999999999999994</v>
      </c>
      <c r="N652" s="35" t="s">
        <v>2417</v>
      </c>
      <c r="O652" s="39"/>
      <c r="U652" s="41">
        <f t="shared" si="614"/>
        <v>0</v>
      </c>
      <c r="W652" s="41">
        <f t="shared" si="615"/>
        <v>0</v>
      </c>
      <c r="X652" s="41">
        <f t="shared" si="616"/>
        <v>0</v>
      </c>
      <c r="Y652" s="41">
        <f t="shared" si="617"/>
        <v>0</v>
      </c>
      <c r="Z652" s="41">
        <f t="shared" si="618"/>
        <v>0</v>
      </c>
      <c r="AA652" s="41">
        <f t="shared" si="619"/>
        <v>0</v>
      </c>
      <c r="AB652" s="41">
        <f t="shared" si="620"/>
        <v>0</v>
      </c>
      <c r="AC652" s="41">
        <f t="shared" si="621"/>
        <v>0</v>
      </c>
      <c r="AD652" s="31"/>
      <c r="AE652" s="21">
        <f t="shared" si="622"/>
        <v>0</v>
      </c>
      <c r="AF652" s="21">
        <f t="shared" si="623"/>
        <v>0</v>
      </c>
      <c r="AG652" s="21">
        <f t="shared" si="624"/>
        <v>0</v>
      </c>
      <c r="AI652" s="41">
        <v>21</v>
      </c>
      <c r="AJ652" s="41">
        <f>H652*0.820748522652659</f>
        <v>0</v>
      </c>
      <c r="AK652" s="41">
        <f>H652*(1-0.820748522652659)</f>
        <v>0</v>
      </c>
      <c r="AL652" s="42" t="s">
        <v>13</v>
      </c>
      <c r="AQ652" s="41">
        <f t="shared" si="625"/>
        <v>0</v>
      </c>
      <c r="AR652" s="41">
        <f t="shared" si="626"/>
        <v>0</v>
      </c>
      <c r="AS652" s="41">
        <f t="shared" si="627"/>
        <v>0</v>
      </c>
      <c r="AT652" s="44" t="s">
        <v>2445</v>
      </c>
      <c r="AU652" s="44" t="s">
        <v>2482</v>
      </c>
      <c r="AV652" s="31" t="s">
        <v>2486</v>
      </c>
      <c r="AX652" s="41">
        <f t="shared" si="628"/>
        <v>0</v>
      </c>
      <c r="AY652" s="41">
        <f t="shared" si="629"/>
        <v>0</v>
      </c>
      <c r="AZ652" s="41">
        <v>0</v>
      </c>
      <c r="BA652" s="41">
        <f t="shared" si="630"/>
        <v>0.80999999999999994</v>
      </c>
      <c r="BC652" s="21">
        <f t="shared" si="631"/>
        <v>0</v>
      </c>
      <c r="BD652" s="21">
        <f t="shared" si="632"/>
        <v>0</v>
      </c>
      <c r="BE652" s="21">
        <f t="shared" si="633"/>
        <v>0</v>
      </c>
      <c r="BF652" s="21" t="s">
        <v>2492</v>
      </c>
      <c r="BG652" s="41">
        <v>767</v>
      </c>
    </row>
    <row r="653" spans="1:59" x14ac:dyDescent="0.3">
      <c r="A653" s="6" t="s">
        <v>641</v>
      </c>
      <c r="B653" s="15"/>
      <c r="C653" s="15" t="s">
        <v>1256</v>
      </c>
      <c r="D653" s="107" t="s">
        <v>2040</v>
      </c>
      <c r="E653" s="108"/>
      <c r="F653" s="15" t="s">
        <v>2391</v>
      </c>
      <c r="G653" s="22">
        <v>8</v>
      </c>
      <c r="H653" s="21">
        <v>0</v>
      </c>
      <c r="I653" s="22">
        <f t="shared" si="610"/>
        <v>0</v>
      </c>
      <c r="J653" s="22">
        <f t="shared" si="611"/>
        <v>0</v>
      </c>
      <c r="K653" s="22">
        <f t="shared" si="612"/>
        <v>0</v>
      </c>
      <c r="L653" s="22">
        <v>1E-3</v>
      </c>
      <c r="M653" s="22">
        <f t="shared" si="613"/>
        <v>8.0000000000000002E-3</v>
      </c>
      <c r="N653" s="37" t="s">
        <v>2417</v>
      </c>
      <c r="O653" s="39"/>
      <c r="U653" s="41">
        <f t="shared" si="614"/>
        <v>0</v>
      </c>
      <c r="W653" s="41">
        <f t="shared" si="615"/>
        <v>0</v>
      </c>
      <c r="X653" s="41">
        <f t="shared" si="616"/>
        <v>0</v>
      </c>
      <c r="Y653" s="41">
        <f t="shared" si="617"/>
        <v>0</v>
      </c>
      <c r="Z653" s="41">
        <f t="shared" si="618"/>
        <v>0</v>
      </c>
      <c r="AA653" s="41">
        <f t="shared" si="619"/>
        <v>0</v>
      </c>
      <c r="AB653" s="41">
        <f t="shared" si="620"/>
        <v>0</v>
      </c>
      <c r="AC653" s="41">
        <f t="shared" si="621"/>
        <v>0</v>
      </c>
      <c r="AD653" s="31"/>
      <c r="AE653" s="22">
        <f t="shared" si="622"/>
        <v>0</v>
      </c>
      <c r="AF653" s="22">
        <f t="shared" si="623"/>
        <v>0</v>
      </c>
      <c r="AG653" s="22">
        <f t="shared" si="624"/>
        <v>0</v>
      </c>
      <c r="AI653" s="41">
        <v>21</v>
      </c>
      <c r="AJ653" s="41">
        <f>H653*1</f>
        <v>0</v>
      </c>
      <c r="AK653" s="41">
        <f>H653*(1-1)</f>
        <v>0</v>
      </c>
      <c r="AL653" s="43" t="s">
        <v>13</v>
      </c>
      <c r="AQ653" s="41">
        <f t="shared" si="625"/>
        <v>0</v>
      </c>
      <c r="AR653" s="41">
        <f t="shared" si="626"/>
        <v>0</v>
      </c>
      <c r="AS653" s="41">
        <f t="shared" si="627"/>
        <v>0</v>
      </c>
      <c r="AT653" s="44" t="s">
        <v>2445</v>
      </c>
      <c r="AU653" s="44" t="s">
        <v>2482</v>
      </c>
      <c r="AV653" s="31" t="s">
        <v>2486</v>
      </c>
      <c r="AX653" s="41">
        <f t="shared" si="628"/>
        <v>0</v>
      </c>
      <c r="AY653" s="41">
        <f t="shared" si="629"/>
        <v>0</v>
      </c>
      <c r="AZ653" s="41">
        <v>0</v>
      </c>
      <c r="BA653" s="41">
        <f t="shared" si="630"/>
        <v>8.0000000000000002E-3</v>
      </c>
      <c r="BC653" s="22">
        <f t="shared" si="631"/>
        <v>0</v>
      </c>
      <c r="BD653" s="22">
        <f t="shared" si="632"/>
        <v>0</v>
      </c>
      <c r="BE653" s="22">
        <f t="shared" si="633"/>
        <v>0</v>
      </c>
      <c r="BF653" s="22" t="s">
        <v>1341</v>
      </c>
      <c r="BG653" s="41">
        <v>767</v>
      </c>
    </row>
    <row r="654" spans="1:59" x14ac:dyDescent="0.3">
      <c r="A654" s="6" t="s">
        <v>642</v>
      </c>
      <c r="B654" s="15"/>
      <c r="C654" s="15" t="s">
        <v>1257</v>
      </c>
      <c r="D654" s="107" t="s">
        <v>2041</v>
      </c>
      <c r="E654" s="108"/>
      <c r="F654" s="15" t="s">
        <v>2391</v>
      </c>
      <c r="G654" s="22">
        <v>13</v>
      </c>
      <c r="H654" s="21">
        <v>0</v>
      </c>
      <c r="I654" s="22">
        <f t="shared" si="610"/>
        <v>0</v>
      </c>
      <c r="J654" s="22">
        <f t="shared" si="611"/>
        <v>0</v>
      </c>
      <c r="K654" s="22">
        <f t="shared" si="612"/>
        <v>0</v>
      </c>
      <c r="L654" s="22">
        <v>6.7999999999999996E-3</v>
      </c>
      <c r="M654" s="22">
        <f t="shared" si="613"/>
        <v>8.8399999999999992E-2</v>
      </c>
      <c r="N654" s="37" t="s">
        <v>2417</v>
      </c>
      <c r="O654" s="39"/>
      <c r="U654" s="41">
        <f t="shared" si="614"/>
        <v>0</v>
      </c>
      <c r="W654" s="41">
        <f t="shared" si="615"/>
        <v>0</v>
      </c>
      <c r="X654" s="41">
        <f t="shared" si="616"/>
        <v>0</v>
      </c>
      <c r="Y654" s="41">
        <f t="shared" si="617"/>
        <v>0</v>
      </c>
      <c r="Z654" s="41">
        <f t="shared" si="618"/>
        <v>0</v>
      </c>
      <c r="AA654" s="41">
        <f t="shared" si="619"/>
        <v>0</v>
      </c>
      <c r="AB654" s="41">
        <f t="shared" si="620"/>
        <v>0</v>
      </c>
      <c r="AC654" s="41">
        <f t="shared" si="621"/>
        <v>0</v>
      </c>
      <c r="AD654" s="31"/>
      <c r="AE654" s="22">
        <f t="shared" si="622"/>
        <v>0</v>
      </c>
      <c r="AF654" s="22">
        <f t="shared" si="623"/>
        <v>0</v>
      </c>
      <c r="AG654" s="22">
        <f t="shared" si="624"/>
        <v>0</v>
      </c>
      <c r="AI654" s="41">
        <v>21</v>
      </c>
      <c r="AJ654" s="41">
        <f>H654*1</f>
        <v>0</v>
      </c>
      <c r="AK654" s="41">
        <f>H654*(1-1)</f>
        <v>0</v>
      </c>
      <c r="AL654" s="43" t="s">
        <v>13</v>
      </c>
      <c r="AQ654" s="41">
        <f t="shared" si="625"/>
        <v>0</v>
      </c>
      <c r="AR654" s="41">
        <f t="shared" si="626"/>
        <v>0</v>
      </c>
      <c r="AS654" s="41">
        <f t="shared" si="627"/>
        <v>0</v>
      </c>
      <c r="AT654" s="44" t="s">
        <v>2445</v>
      </c>
      <c r="AU654" s="44" t="s">
        <v>2482</v>
      </c>
      <c r="AV654" s="31" t="s">
        <v>2486</v>
      </c>
      <c r="AX654" s="41">
        <f t="shared" si="628"/>
        <v>0</v>
      </c>
      <c r="AY654" s="41">
        <f t="shared" si="629"/>
        <v>0</v>
      </c>
      <c r="AZ654" s="41">
        <v>0</v>
      </c>
      <c r="BA654" s="41">
        <f t="shared" si="630"/>
        <v>8.8399999999999992E-2</v>
      </c>
      <c r="BC654" s="22">
        <f t="shared" si="631"/>
        <v>0</v>
      </c>
      <c r="BD654" s="22">
        <f t="shared" si="632"/>
        <v>0</v>
      </c>
      <c r="BE654" s="22">
        <f t="shared" si="633"/>
        <v>0</v>
      </c>
      <c r="BF654" s="22" t="s">
        <v>1341</v>
      </c>
      <c r="BG654" s="41">
        <v>767</v>
      </c>
    </row>
    <row r="655" spans="1:59" x14ac:dyDescent="0.3">
      <c r="A655" s="6" t="s">
        <v>643</v>
      </c>
      <c r="B655" s="15"/>
      <c r="C655" s="15" t="s">
        <v>1258</v>
      </c>
      <c r="D655" s="107" t="s">
        <v>2042</v>
      </c>
      <c r="E655" s="108"/>
      <c r="F655" s="15" t="s">
        <v>2391</v>
      </c>
      <c r="G655" s="22">
        <v>19</v>
      </c>
      <c r="H655" s="21">
        <v>0</v>
      </c>
      <c r="I655" s="22">
        <f t="shared" si="610"/>
        <v>0</v>
      </c>
      <c r="J655" s="22">
        <f t="shared" si="611"/>
        <v>0</v>
      </c>
      <c r="K655" s="22">
        <f t="shared" si="612"/>
        <v>0</v>
      </c>
      <c r="L655" s="22">
        <v>6.7999999999999996E-3</v>
      </c>
      <c r="M655" s="22">
        <f t="shared" si="613"/>
        <v>0.12919999999999998</v>
      </c>
      <c r="N655" s="37" t="s">
        <v>2417</v>
      </c>
      <c r="O655" s="39"/>
      <c r="U655" s="41">
        <f t="shared" si="614"/>
        <v>0</v>
      </c>
      <c r="W655" s="41">
        <f t="shared" si="615"/>
        <v>0</v>
      </c>
      <c r="X655" s="41">
        <f t="shared" si="616"/>
        <v>0</v>
      </c>
      <c r="Y655" s="41">
        <f t="shared" si="617"/>
        <v>0</v>
      </c>
      <c r="Z655" s="41">
        <f t="shared" si="618"/>
        <v>0</v>
      </c>
      <c r="AA655" s="41">
        <f t="shared" si="619"/>
        <v>0</v>
      </c>
      <c r="AB655" s="41">
        <f t="shared" si="620"/>
        <v>0</v>
      </c>
      <c r="AC655" s="41">
        <f t="shared" si="621"/>
        <v>0</v>
      </c>
      <c r="AD655" s="31"/>
      <c r="AE655" s="22">
        <f t="shared" si="622"/>
        <v>0</v>
      </c>
      <c r="AF655" s="22">
        <f t="shared" si="623"/>
        <v>0</v>
      </c>
      <c r="AG655" s="22">
        <f t="shared" si="624"/>
        <v>0</v>
      </c>
      <c r="AI655" s="41">
        <v>21</v>
      </c>
      <c r="AJ655" s="41">
        <f>H655*1</f>
        <v>0</v>
      </c>
      <c r="AK655" s="41">
        <f>H655*(1-1)</f>
        <v>0</v>
      </c>
      <c r="AL655" s="43" t="s">
        <v>13</v>
      </c>
      <c r="AQ655" s="41">
        <f t="shared" si="625"/>
        <v>0</v>
      </c>
      <c r="AR655" s="41">
        <f t="shared" si="626"/>
        <v>0</v>
      </c>
      <c r="AS655" s="41">
        <f t="shared" si="627"/>
        <v>0</v>
      </c>
      <c r="AT655" s="44" t="s">
        <v>2445</v>
      </c>
      <c r="AU655" s="44" t="s">
        <v>2482</v>
      </c>
      <c r="AV655" s="31" t="s">
        <v>2486</v>
      </c>
      <c r="AX655" s="41">
        <f t="shared" si="628"/>
        <v>0</v>
      </c>
      <c r="AY655" s="41">
        <f t="shared" si="629"/>
        <v>0</v>
      </c>
      <c r="AZ655" s="41">
        <v>0</v>
      </c>
      <c r="BA655" s="41">
        <f t="shared" si="630"/>
        <v>0.12919999999999998</v>
      </c>
      <c r="BC655" s="22">
        <f t="shared" si="631"/>
        <v>0</v>
      </c>
      <c r="BD655" s="22">
        <f t="shared" si="632"/>
        <v>0</v>
      </c>
      <c r="BE655" s="22">
        <f t="shared" si="633"/>
        <v>0</v>
      </c>
      <c r="BF655" s="22" t="s">
        <v>1341</v>
      </c>
      <c r="BG655" s="41">
        <v>767</v>
      </c>
    </row>
    <row r="656" spans="1:59" x14ac:dyDescent="0.3">
      <c r="A656" s="4" t="s">
        <v>644</v>
      </c>
      <c r="B656" s="13"/>
      <c r="C656" s="13" t="s">
        <v>1259</v>
      </c>
      <c r="D656" s="101" t="s">
        <v>2043</v>
      </c>
      <c r="E656" s="102"/>
      <c r="F656" s="13" t="s">
        <v>2391</v>
      </c>
      <c r="G656" s="21">
        <v>97</v>
      </c>
      <c r="H656" s="21">
        <v>0</v>
      </c>
      <c r="I656" s="21">
        <f t="shared" si="610"/>
        <v>0</v>
      </c>
      <c r="J656" s="21">
        <f t="shared" si="611"/>
        <v>0</v>
      </c>
      <c r="K656" s="21">
        <f t="shared" si="612"/>
        <v>0</v>
      </c>
      <c r="L656" s="21">
        <v>0</v>
      </c>
      <c r="M656" s="21">
        <f t="shared" si="613"/>
        <v>0</v>
      </c>
      <c r="N656" s="35" t="s">
        <v>2417</v>
      </c>
      <c r="O656" s="39"/>
      <c r="U656" s="41">
        <f t="shared" si="614"/>
        <v>0</v>
      </c>
      <c r="W656" s="41">
        <f t="shared" si="615"/>
        <v>0</v>
      </c>
      <c r="X656" s="41">
        <f t="shared" si="616"/>
        <v>0</v>
      </c>
      <c r="Y656" s="41">
        <f t="shared" si="617"/>
        <v>0</v>
      </c>
      <c r="Z656" s="41">
        <f t="shared" si="618"/>
        <v>0</v>
      </c>
      <c r="AA656" s="41">
        <f t="shared" si="619"/>
        <v>0</v>
      </c>
      <c r="AB656" s="41">
        <f t="shared" si="620"/>
        <v>0</v>
      </c>
      <c r="AC656" s="41">
        <f t="shared" si="621"/>
        <v>0</v>
      </c>
      <c r="AD656" s="31"/>
      <c r="AE656" s="21">
        <f t="shared" si="622"/>
        <v>0</v>
      </c>
      <c r="AF656" s="21">
        <f t="shared" si="623"/>
        <v>0</v>
      </c>
      <c r="AG656" s="21">
        <f t="shared" si="624"/>
        <v>0</v>
      </c>
      <c r="AI656" s="41">
        <v>21</v>
      </c>
      <c r="AJ656" s="41">
        <f>H656*0</f>
        <v>0</v>
      </c>
      <c r="AK656" s="41">
        <f>H656*(1-0)</f>
        <v>0</v>
      </c>
      <c r="AL656" s="42" t="s">
        <v>13</v>
      </c>
      <c r="AQ656" s="41">
        <f t="shared" si="625"/>
        <v>0</v>
      </c>
      <c r="AR656" s="41">
        <f t="shared" si="626"/>
        <v>0</v>
      </c>
      <c r="AS656" s="41">
        <f t="shared" si="627"/>
        <v>0</v>
      </c>
      <c r="AT656" s="44" t="s">
        <v>2445</v>
      </c>
      <c r="AU656" s="44" t="s">
        <v>2482</v>
      </c>
      <c r="AV656" s="31" t="s">
        <v>2486</v>
      </c>
      <c r="AX656" s="41">
        <f t="shared" si="628"/>
        <v>0</v>
      </c>
      <c r="AY656" s="41">
        <f t="shared" si="629"/>
        <v>0</v>
      </c>
      <c r="AZ656" s="41">
        <v>0</v>
      </c>
      <c r="BA656" s="41">
        <f t="shared" si="630"/>
        <v>0</v>
      </c>
      <c r="BC656" s="21">
        <f t="shared" si="631"/>
        <v>0</v>
      </c>
      <c r="BD656" s="21">
        <f t="shared" si="632"/>
        <v>0</v>
      </c>
      <c r="BE656" s="21">
        <f t="shared" si="633"/>
        <v>0</v>
      </c>
      <c r="BF656" s="21" t="s">
        <v>2492</v>
      </c>
      <c r="BG656" s="41">
        <v>767</v>
      </c>
    </row>
    <row r="657" spans="1:59" x14ac:dyDescent="0.3">
      <c r="A657" s="6" t="s">
        <v>645</v>
      </c>
      <c r="B657" s="15"/>
      <c r="C657" s="15" t="s">
        <v>1260</v>
      </c>
      <c r="D657" s="107" t="s">
        <v>2044</v>
      </c>
      <c r="E657" s="108"/>
      <c r="F657" s="15" t="s">
        <v>2391</v>
      </c>
      <c r="G657" s="22">
        <v>1</v>
      </c>
      <c r="H657" s="21">
        <v>0</v>
      </c>
      <c r="I657" s="22">
        <f t="shared" si="610"/>
        <v>0</v>
      </c>
      <c r="J657" s="22">
        <f t="shared" si="611"/>
        <v>0</v>
      </c>
      <c r="K657" s="22">
        <f t="shared" si="612"/>
        <v>0</v>
      </c>
      <c r="L657" s="22">
        <v>4.5999999999999999E-3</v>
      </c>
      <c r="M657" s="22">
        <f t="shared" si="613"/>
        <v>4.5999999999999999E-3</v>
      </c>
      <c r="N657" s="37" t="s">
        <v>2417</v>
      </c>
      <c r="O657" s="39"/>
      <c r="U657" s="41">
        <f t="shared" si="614"/>
        <v>0</v>
      </c>
      <c r="W657" s="41">
        <f t="shared" si="615"/>
        <v>0</v>
      </c>
      <c r="X657" s="41">
        <f t="shared" si="616"/>
        <v>0</v>
      </c>
      <c r="Y657" s="41">
        <f t="shared" si="617"/>
        <v>0</v>
      </c>
      <c r="Z657" s="41">
        <f t="shared" si="618"/>
        <v>0</v>
      </c>
      <c r="AA657" s="41">
        <f t="shared" si="619"/>
        <v>0</v>
      </c>
      <c r="AB657" s="41">
        <f t="shared" si="620"/>
        <v>0</v>
      </c>
      <c r="AC657" s="41">
        <f t="shared" si="621"/>
        <v>0</v>
      </c>
      <c r="AD657" s="31"/>
      <c r="AE657" s="22">
        <f t="shared" si="622"/>
        <v>0</v>
      </c>
      <c r="AF657" s="22">
        <f t="shared" si="623"/>
        <v>0</v>
      </c>
      <c r="AG657" s="22">
        <f t="shared" si="624"/>
        <v>0</v>
      </c>
      <c r="AI657" s="41">
        <v>21</v>
      </c>
      <c r="AJ657" s="41">
        <f t="shared" ref="AJ657:AJ667" si="634">H657*1</f>
        <v>0</v>
      </c>
      <c r="AK657" s="41">
        <f t="shared" ref="AK657:AK667" si="635">H657*(1-1)</f>
        <v>0</v>
      </c>
      <c r="AL657" s="43" t="s">
        <v>13</v>
      </c>
      <c r="AQ657" s="41">
        <f t="shared" si="625"/>
        <v>0</v>
      </c>
      <c r="AR657" s="41">
        <f t="shared" si="626"/>
        <v>0</v>
      </c>
      <c r="AS657" s="41">
        <f t="shared" si="627"/>
        <v>0</v>
      </c>
      <c r="AT657" s="44" t="s">
        <v>2445</v>
      </c>
      <c r="AU657" s="44" t="s">
        <v>2482</v>
      </c>
      <c r="AV657" s="31" t="s">
        <v>2486</v>
      </c>
      <c r="AX657" s="41">
        <f t="shared" si="628"/>
        <v>0</v>
      </c>
      <c r="AY657" s="41">
        <f t="shared" si="629"/>
        <v>0</v>
      </c>
      <c r="AZ657" s="41">
        <v>0</v>
      </c>
      <c r="BA657" s="41">
        <f t="shared" si="630"/>
        <v>4.5999999999999999E-3</v>
      </c>
      <c r="BC657" s="22">
        <f t="shared" si="631"/>
        <v>0</v>
      </c>
      <c r="BD657" s="22">
        <f t="shared" si="632"/>
        <v>0</v>
      </c>
      <c r="BE657" s="22">
        <f t="shared" si="633"/>
        <v>0</v>
      </c>
      <c r="BF657" s="22" t="s">
        <v>1341</v>
      </c>
      <c r="BG657" s="41">
        <v>767</v>
      </c>
    </row>
    <row r="658" spans="1:59" x14ac:dyDescent="0.3">
      <c r="A658" s="6" t="s">
        <v>646</v>
      </c>
      <c r="B658" s="15"/>
      <c r="C658" s="15" t="s">
        <v>1261</v>
      </c>
      <c r="D658" s="107" t="s">
        <v>2045</v>
      </c>
      <c r="E658" s="108"/>
      <c r="F658" s="15" t="s">
        <v>2391</v>
      </c>
      <c r="G658" s="22">
        <v>6</v>
      </c>
      <c r="H658" s="21">
        <v>0</v>
      </c>
      <c r="I658" s="22">
        <f t="shared" si="610"/>
        <v>0</v>
      </c>
      <c r="J658" s="22">
        <f t="shared" si="611"/>
        <v>0</v>
      </c>
      <c r="K658" s="22">
        <f t="shared" si="612"/>
        <v>0</v>
      </c>
      <c r="L658" s="22">
        <v>2.3999999999999998E-3</v>
      </c>
      <c r="M658" s="22">
        <f t="shared" si="613"/>
        <v>1.44E-2</v>
      </c>
      <c r="N658" s="37" t="s">
        <v>2417</v>
      </c>
      <c r="O658" s="39"/>
      <c r="U658" s="41">
        <f t="shared" si="614"/>
        <v>0</v>
      </c>
      <c r="W658" s="41">
        <f t="shared" si="615"/>
        <v>0</v>
      </c>
      <c r="X658" s="41">
        <f t="shared" si="616"/>
        <v>0</v>
      </c>
      <c r="Y658" s="41">
        <f t="shared" si="617"/>
        <v>0</v>
      </c>
      <c r="Z658" s="41">
        <f t="shared" si="618"/>
        <v>0</v>
      </c>
      <c r="AA658" s="41">
        <f t="shared" si="619"/>
        <v>0</v>
      </c>
      <c r="AB658" s="41">
        <f t="shared" si="620"/>
        <v>0</v>
      </c>
      <c r="AC658" s="41">
        <f t="shared" si="621"/>
        <v>0</v>
      </c>
      <c r="AD658" s="31"/>
      <c r="AE658" s="22">
        <f t="shared" si="622"/>
        <v>0</v>
      </c>
      <c r="AF658" s="22">
        <f t="shared" si="623"/>
        <v>0</v>
      </c>
      <c r="AG658" s="22">
        <f t="shared" si="624"/>
        <v>0</v>
      </c>
      <c r="AI658" s="41">
        <v>21</v>
      </c>
      <c r="AJ658" s="41">
        <f t="shared" si="634"/>
        <v>0</v>
      </c>
      <c r="AK658" s="41">
        <f t="shared" si="635"/>
        <v>0</v>
      </c>
      <c r="AL658" s="43" t="s">
        <v>13</v>
      </c>
      <c r="AQ658" s="41">
        <f t="shared" si="625"/>
        <v>0</v>
      </c>
      <c r="AR658" s="41">
        <f t="shared" si="626"/>
        <v>0</v>
      </c>
      <c r="AS658" s="41">
        <f t="shared" si="627"/>
        <v>0</v>
      </c>
      <c r="AT658" s="44" t="s">
        <v>2445</v>
      </c>
      <c r="AU658" s="44" t="s">
        <v>2482</v>
      </c>
      <c r="AV658" s="31" t="s">
        <v>2486</v>
      </c>
      <c r="AX658" s="41">
        <f t="shared" si="628"/>
        <v>0</v>
      </c>
      <c r="AY658" s="41">
        <f t="shared" si="629"/>
        <v>0</v>
      </c>
      <c r="AZ658" s="41">
        <v>0</v>
      </c>
      <c r="BA658" s="41">
        <f t="shared" si="630"/>
        <v>1.44E-2</v>
      </c>
      <c r="BC658" s="22">
        <f t="shared" si="631"/>
        <v>0</v>
      </c>
      <c r="BD658" s="22">
        <f t="shared" si="632"/>
        <v>0</v>
      </c>
      <c r="BE658" s="22">
        <f t="shared" si="633"/>
        <v>0</v>
      </c>
      <c r="BF658" s="22" t="s">
        <v>1341</v>
      </c>
      <c r="BG658" s="41">
        <v>767</v>
      </c>
    </row>
    <row r="659" spans="1:59" x14ac:dyDescent="0.3">
      <c r="A659" s="6" t="s">
        <v>647</v>
      </c>
      <c r="B659" s="15"/>
      <c r="C659" s="15" t="s">
        <v>1262</v>
      </c>
      <c r="D659" s="107" t="s">
        <v>2046</v>
      </c>
      <c r="E659" s="108"/>
      <c r="F659" s="15" t="s">
        <v>2391</v>
      </c>
      <c r="G659" s="22">
        <v>5</v>
      </c>
      <c r="H659" s="21">
        <v>0</v>
      </c>
      <c r="I659" s="22">
        <f t="shared" si="610"/>
        <v>0</v>
      </c>
      <c r="J659" s="22">
        <f t="shared" si="611"/>
        <v>0</v>
      </c>
      <c r="K659" s="22">
        <f t="shared" si="612"/>
        <v>0</v>
      </c>
      <c r="L659" s="22">
        <v>1.6000000000000001E-3</v>
      </c>
      <c r="M659" s="22">
        <f t="shared" si="613"/>
        <v>8.0000000000000002E-3</v>
      </c>
      <c r="N659" s="37" t="s">
        <v>2417</v>
      </c>
      <c r="O659" s="39"/>
      <c r="U659" s="41">
        <f t="shared" si="614"/>
        <v>0</v>
      </c>
      <c r="W659" s="41">
        <f t="shared" si="615"/>
        <v>0</v>
      </c>
      <c r="X659" s="41">
        <f t="shared" si="616"/>
        <v>0</v>
      </c>
      <c r="Y659" s="41">
        <f t="shared" si="617"/>
        <v>0</v>
      </c>
      <c r="Z659" s="41">
        <f t="shared" si="618"/>
        <v>0</v>
      </c>
      <c r="AA659" s="41">
        <f t="shared" si="619"/>
        <v>0</v>
      </c>
      <c r="AB659" s="41">
        <f t="shared" si="620"/>
        <v>0</v>
      </c>
      <c r="AC659" s="41">
        <f t="shared" si="621"/>
        <v>0</v>
      </c>
      <c r="AD659" s="31"/>
      <c r="AE659" s="22">
        <f t="shared" si="622"/>
        <v>0</v>
      </c>
      <c r="AF659" s="22">
        <f t="shared" si="623"/>
        <v>0</v>
      </c>
      <c r="AG659" s="22">
        <f t="shared" si="624"/>
        <v>0</v>
      </c>
      <c r="AI659" s="41">
        <v>21</v>
      </c>
      <c r="AJ659" s="41">
        <f t="shared" si="634"/>
        <v>0</v>
      </c>
      <c r="AK659" s="41">
        <f t="shared" si="635"/>
        <v>0</v>
      </c>
      <c r="AL659" s="43" t="s">
        <v>13</v>
      </c>
      <c r="AQ659" s="41">
        <f t="shared" si="625"/>
        <v>0</v>
      </c>
      <c r="AR659" s="41">
        <f t="shared" si="626"/>
        <v>0</v>
      </c>
      <c r="AS659" s="41">
        <f t="shared" si="627"/>
        <v>0</v>
      </c>
      <c r="AT659" s="44" t="s">
        <v>2445</v>
      </c>
      <c r="AU659" s="44" t="s">
        <v>2482</v>
      </c>
      <c r="AV659" s="31" t="s">
        <v>2486</v>
      </c>
      <c r="AX659" s="41">
        <f t="shared" si="628"/>
        <v>0</v>
      </c>
      <c r="AY659" s="41">
        <f t="shared" si="629"/>
        <v>0</v>
      </c>
      <c r="AZ659" s="41">
        <v>0</v>
      </c>
      <c r="BA659" s="41">
        <f t="shared" si="630"/>
        <v>8.0000000000000002E-3</v>
      </c>
      <c r="BC659" s="22">
        <f t="shared" si="631"/>
        <v>0</v>
      </c>
      <c r="BD659" s="22">
        <f t="shared" si="632"/>
        <v>0</v>
      </c>
      <c r="BE659" s="22">
        <f t="shared" si="633"/>
        <v>0</v>
      </c>
      <c r="BF659" s="22" t="s">
        <v>1341</v>
      </c>
      <c r="BG659" s="41">
        <v>767</v>
      </c>
    </row>
    <row r="660" spans="1:59" x14ac:dyDescent="0.3">
      <c r="A660" s="6" t="s">
        <v>648</v>
      </c>
      <c r="B660" s="15"/>
      <c r="C660" s="15" t="s">
        <v>1263</v>
      </c>
      <c r="D660" s="107" t="s">
        <v>2047</v>
      </c>
      <c r="E660" s="108"/>
      <c r="F660" s="15" t="s">
        <v>2391</v>
      </c>
      <c r="G660" s="22">
        <v>1</v>
      </c>
      <c r="H660" s="21">
        <v>0</v>
      </c>
      <c r="I660" s="22">
        <f t="shared" si="610"/>
        <v>0</v>
      </c>
      <c r="J660" s="22">
        <f t="shared" si="611"/>
        <v>0</v>
      </c>
      <c r="K660" s="22">
        <f t="shared" si="612"/>
        <v>0</v>
      </c>
      <c r="L660" s="22">
        <v>4.7000000000000002E-3</v>
      </c>
      <c r="M660" s="22">
        <f t="shared" si="613"/>
        <v>4.7000000000000002E-3</v>
      </c>
      <c r="N660" s="37" t="s">
        <v>2417</v>
      </c>
      <c r="O660" s="39"/>
      <c r="U660" s="41">
        <f t="shared" si="614"/>
        <v>0</v>
      </c>
      <c r="W660" s="41">
        <f t="shared" si="615"/>
        <v>0</v>
      </c>
      <c r="X660" s="41">
        <f t="shared" si="616"/>
        <v>0</v>
      </c>
      <c r="Y660" s="41">
        <f t="shared" si="617"/>
        <v>0</v>
      </c>
      <c r="Z660" s="41">
        <f t="shared" si="618"/>
        <v>0</v>
      </c>
      <c r="AA660" s="41">
        <f t="shared" si="619"/>
        <v>0</v>
      </c>
      <c r="AB660" s="41">
        <f t="shared" si="620"/>
        <v>0</v>
      </c>
      <c r="AC660" s="41">
        <f t="shared" si="621"/>
        <v>0</v>
      </c>
      <c r="AD660" s="31"/>
      <c r="AE660" s="22">
        <f t="shared" si="622"/>
        <v>0</v>
      </c>
      <c r="AF660" s="22">
        <f t="shared" si="623"/>
        <v>0</v>
      </c>
      <c r="AG660" s="22">
        <f t="shared" si="624"/>
        <v>0</v>
      </c>
      <c r="AI660" s="41">
        <v>21</v>
      </c>
      <c r="AJ660" s="41">
        <f t="shared" si="634"/>
        <v>0</v>
      </c>
      <c r="AK660" s="41">
        <f t="shared" si="635"/>
        <v>0</v>
      </c>
      <c r="AL660" s="43" t="s">
        <v>13</v>
      </c>
      <c r="AQ660" s="41">
        <f t="shared" si="625"/>
        <v>0</v>
      </c>
      <c r="AR660" s="41">
        <f t="shared" si="626"/>
        <v>0</v>
      </c>
      <c r="AS660" s="41">
        <f t="shared" si="627"/>
        <v>0</v>
      </c>
      <c r="AT660" s="44" t="s">
        <v>2445</v>
      </c>
      <c r="AU660" s="44" t="s">
        <v>2482</v>
      </c>
      <c r="AV660" s="31" t="s">
        <v>2486</v>
      </c>
      <c r="AX660" s="41">
        <f t="shared" si="628"/>
        <v>0</v>
      </c>
      <c r="AY660" s="41">
        <f t="shared" si="629"/>
        <v>0</v>
      </c>
      <c r="AZ660" s="41">
        <v>0</v>
      </c>
      <c r="BA660" s="41">
        <f t="shared" si="630"/>
        <v>4.7000000000000002E-3</v>
      </c>
      <c r="BC660" s="22">
        <f t="shared" si="631"/>
        <v>0</v>
      </c>
      <c r="BD660" s="22">
        <f t="shared" si="632"/>
        <v>0</v>
      </c>
      <c r="BE660" s="22">
        <f t="shared" si="633"/>
        <v>0</v>
      </c>
      <c r="BF660" s="22" t="s">
        <v>1341</v>
      </c>
      <c r="BG660" s="41">
        <v>767</v>
      </c>
    </row>
    <row r="661" spans="1:59" x14ac:dyDescent="0.3">
      <c r="A661" s="6" t="s">
        <v>649</v>
      </c>
      <c r="B661" s="15"/>
      <c r="C661" s="15" t="s">
        <v>1264</v>
      </c>
      <c r="D661" s="107" t="s">
        <v>2048</v>
      </c>
      <c r="E661" s="108"/>
      <c r="F661" s="15" t="s">
        <v>2391</v>
      </c>
      <c r="G661" s="22">
        <v>26</v>
      </c>
      <c r="H661" s="21">
        <v>0</v>
      </c>
      <c r="I661" s="22">
        <f t="shared" si="610"/>
        <v>0</v>
      </c>
      <c r="J661" s="22">
        <f t="shared" si="611"/>
        <v>0</v>
      </c>
      <c r="K661" s="22">
        <f t="shared" si="612"/>
        <v>0</v>
      </c>
      <c r="L661" s="22">
        <v>6.7999999999999996E-3</v>
      </c>
      <c r="M661" s="22">
        <f t="shared" si="613"/>
        <v>0.17679999999999998</v>
      </c>
      <c r="N661" s="37" t="s">
        <v>2417</v>
      </c>
      <c r="O661" s="39"/>
      <c r="U661" s="41">
        <f t="shared" si="614"/>
        <v>0</v>
      </c>
      <c r="W661" s="41">
        <f t="shared" si="615"/>
        <v>0</v>
      </c>
      <c r="X661" s="41">
        <f t="shared" si="616"/>
        <v>0</v>
      </c>
      <c r="Y661" s="41">
        <f t="shared" si="617"/>
        <v>0</v>
      </c>
      <c r="Z661" s="41">
        <f t="shared" si="618"/>
        <v>0</v>
      </c>
      <c r="AA661" s="41">
        <f t="shared" si="619"/>
        <v>0</v>
      </c>
      <c r="AB661" s="41">
        <f t="shared" si="620"/>
        <v>0</v>
      </c>
      <c r="AC661" s="41">
        <f t="shared" si="621"/>
        <v>0</v>
      </c>
      <c r="AD661" s="31"/>
      <c r="AE661" s="22">
        <f t="shared" si="622"/>
        <v>0</v>
      </c>
      <c r="AF661" s="22">
        <f t="shared" si="623"/>
        <v>0</v>
      </c>
      <c r="AG661" s="22">
        <f t="shared" si="624"/>
        <v>0</v>
      </c>
      <c r="AI661" s="41">
        <v>21</v>
      </c>
      <c r="AJ661" s="41">
        <f t="shared" si="634"/>
        <v>0</v>
      </c>
      <c r="AK661" s="41">
        <f t="shared" si="635"/>
        <v>0</v>
      </c>
      <c r="AL661" s="43" t="s">
        <v>13</v>
      </c>
      <c r="AQ661" s="41">
        <f t="shared" si="625"/>
        <v>0</v>
      </c>
      <c r="AR661" s="41">
        <f t="shared" si="626"/>
        <v>0</v>
      </c>
      <c r="AS661" s="41">
        <f t="shared" si="627"/>
        <v>0</v>
      </c>
      <c r="AT661" s="44" t="s">
        <v>2445</v>
      </c>
      <c r="AU661" s="44" t="s">
        <v>2482</v>
      </c>
      <c r="AV661" s="31" t="s">
        <v>2486</v>
      </c>
      <c r="AX661" s="41">
        <f t="shared" si="628"/>
        <v>0</v>
      </c>
      <c r="AY661" s="41">
        <f t="shared" si="629"/>
        <v>0</v>
      </c>
      <c r="AZ661" s="41">
        <v>0</v>
      </c>
      <c r="BA661" s="41">
        <f t="shared" si="630"/>
        <v>0.17679999999999998</v>
      </c>
      <c r="BC661" s="22">
        <f t="shared" si="631"/>
        <v>0</v>
      </c>
      <c r="BD661" s="22">
        <f t="shared" si="632"/>
        <v>0</v>
      </c>
      <c r="BE661" s="22">
        <f t="shared" si="633"/>
        <v>0</v>
      </c>
      <c r="BF661" s="22" t="s">
        <v>1341</v>
      </c>
      <c r="BG661" s="41">
        <v>767</v>
      </c>
    </row>
    <row r="662" spans="1:59" x14ac:dyDescent="0.3">
      <c r="A662" s="6" t="s">
        <v>650</v>
      </c>
      <c r="B662" s="15"/>
      <c r="C662" s="15" t="s">
        <v>1265</v>
      </c>
      <c r="D662" s="107" t="s">
        <v>2049</v>
      </c>
      <c r="E662" s="108"/>
      <c r="F662" s="15" t="s">
        <v>2391</v>
      </c>
      <c r="G662" s="22">
        <v>5</v>
      </c>
      <c r="H662" s="21">
        <v>0</v>
      </c>
      <c r="I662" s="22">
        <f t="shared" si="610"/>
        <v>0</v>
      </c>
      <c r="J662" s="22">
        <f t="shared" si="611"/>
        <v>0</v>
      </c>
      <c r="K662" s="22">
        <f t="shared" si="612"/>
        <v>0</v>
      </c>
      <c r="L662" s="22">
        <v>3.6000000000000002E-4</v>
      </c>
      <c r="M662" s="22">
        <f t="shared" si="613"/>
        <v>1.8000000000000002E-3</v>
      </c>
      <c r="N662" s="37" t="s">
        <v>2417</v>
      </c>
      <c r="O662" s="39"/>
      <c r="U662" s="41">
        <f t="shared" si="614"/>
        <v>0</v>
      </c>
      <c r="W662" s="41">
        <f t="shared" si="615"/>
        <v>0</v>
      </c>
      <c r="X662" s="41">
        <f t="shared" si="616"/>
        <v>0</v>
      </c>
      <c r="Y662" s="41">
        <f t="shared" si="617"/>
        <v>0</v>
      </c>
      <c r="Z662" s="41">
        <f t="shared" si="618"/>
        <v>0</v>
      </c>
      <c r="AA662" s="41">
        <f t="shared" si="619"/>
        <v>0</v>
      </c>
      <c r="AB662" s="41">
        <f t="shared" si="620"/>
        <v>0</v>
      </c>
      <c r="AC662" s="41">
        <f t="shared" si="621"/>
        <v>0</v>
      </c>
      <c r="AD662" s="31"/>
      <c r="AE662" s="22">
        <f t="shared" si="622"/>
        <v>0</v>
      </c>
      <c r="AF662" s="22">
        <f t="shared" si="623"/>
        <v>0</v>
      </c>
      <c r="AG662" s="22">
        <f t="shared" si="624"/>
        <v>0</v>
      </c>
      <c r="AI662" s="41">
        <v>21</v>
      </c>
      <c r="AJ662" s="41">
        <f t="shared" si="634"/>
        <v>0</v>
      </c>
      <c r="AK662" s="41">
        <f t="shared" si="635"/>
        <v>0</v>
      </c>
      <c r="AL662" s="43" t="s">
        <v>13</v>
      </c>
      <c r="AQ662" s="41">
        <f t="shared" si="625"/>
        <v>0</v>
      </c>
      <c r="AR662" s="41">
        <f t="shared" si="626"/>
        <v>0</v>
      </c>
      <c r="AS662" s="41">
        <f t="shared" si="627"/>
        <v>0</v>
      </c>
      <c r="AT662" s="44" t="s">
        <v>2445</v>
      </c>
      <c r="AU662" s="44" t="s">
        <v>2482</v>
      </c>
      <c r="AV662" s="31" t="s">
        <v>2486</v>
      </c>
      <c r="AX662" s="41">
        <f t="shared" si="628"/>
        <v>0</v>
      </c>
      <c r="AY662" s="41">
        <f t="shared" si="629"/>
        <v>0</v>
      </c>
      <c r="AZ662" s="41">
        <v>0</v>
      </c>
      <c r="BA662" s="41">
        <f t="shared" si="630"/>
        <v>1.8000000000000002E-3</v>
      </c>
      <c r="BC662" s="22">
        <f t="shared" si="631"/>
        <v>0</v>
      </c>
      <c r="BD662" s="22">
        <f t="shared" si="632"/>
        <v>0</v>
      </c>
      <c r="BE662" s="22">
        <f t="shared" si="633"/>
        <v>0</v>
      </c>
      <c r="BF662" s="22" t="s">
        <v>1341</v>
      </c>
      <c r="BG662" s="41">
        <v>767</v>
      </c>
    </row>
    <row r="663" spans="1:59" x14ac:dyDescent="0.3">
      <c r="A663" s="6" t="s">
        <v>651</v>
      </c>
      <c r="B663" s="15"/>
      <c r="C663" s="15" t="s">
        <v>1266</v>
      </c>
      <c r="D663" s="107" t="s">
        <v>2050</v>
      </c>
      <c r="E663" s="108"/>
      <c r="F663" s="15" t="s">
        <v>2391</v>
      </c>
      <c r="G663" s="22">
        <v>1</v>
      </c>
      <c r="H663" s="21">
        <v>0</v>
      </c>
      <c r="I663" s="22">
        <f t="shared" si="610"/>
        <v>0</v>
      </c>
      <c r="J663" s="22">
        <f t="shared" si="611"/>
        <v>0</v>
      </c>
      <c r="K663" s="22">
        <f t="shared" si="612"/>
        <v>0</v>
      </c>
      <c r="L663" s="22">
        <v>3.6000000000000002E-4</v>
      </c>
      <c r="M663" s="22">
        <f t="shared" si="613"/>
        <v>3.6000000000000002E-4</v>
      </c>
      <c r="N663" s="37" t="s">
        <v>2417</v>
      </c>
      <c r="O663" s="39"/>
      <c r="U663" s="41">
        <f t="shared" si="614"/>
        <v>0</v>
      </c>
      <c r="W663" s="41">
        <f t="shared" si="615"/>
        <v>0</v>
      </c>
      <c r="X663" s="41">
        <f t="shared" si="616"/>
        <v>0</v>
      </c>
      <c r="Y663" s="41">
        <f t="shared" si="617"/>
        <v>0</v>
      </c>
      <c r="Z663" s="41">
        <f t="shared" si="618"/>
        <v>0</v>
      </c>
      <c r="AA663" s="41">
        <f t="shared" si="619"/>
        <v>0</v>
      </c>
      <c r="AB663" s="41">
        <f t="shared" si="620"/>
        <v>0</v>
      </c>
      <c r="AC663" s="41">
        <f t="shared" si="621"/>
        <v>0</v>
      </c>
      <c r="AD663" s="31"/>
      <c r="AE663" s="22">
        <f t="shared" si="622"/>
        <v>0</v>
      </c>
      <c r="AF663" s="22">
        <f t="shared" si="623"/>
        <v>0</v>
      </c>
      <c r="AG663" s="22">
        <f t="shared" si="624"/>
        <v>0</v>
      </c>
      <c r="AI663" s="41">
        <v>21</v>
      </c>
      <c r="AJ663" s="41">
        <f t="shared" si="634"/>
        <v>0</v>
      </c>
      <c r="AK663" s="41">
        <f t="shared" si="635"/>
        <v>0</v>
      </c>
      <c r="AL663" s="43" t="s">
        <v>13</v>
      </c>
      <c r="AQ663" s="41">
        <f t="shared" si="625"/>
        <v>0</v>
      </c>
      <c r="AR663" s="41">
        <f t="shared" si="626"/>
        <v>0</v>
      </c>
      <c r="AS663" s="41">
        <f t="shared" si="627"/>
        <v>0</v>
      </c>
      <c r="AT663" s="44" t="s">
        <v>2445</v>
      </c>
      <c r="AU663" s="44" t="s">
        <v>2482</v>
      </c>
      <c r="AV663" s="31" t="s">
        <v>2486</v>
      </c>
      <c r="AX663" s="41">
        <f t="shared" si="628"/>
        <v>0</v>
      </c>
      <c r="AY663" s="41">
        <f t="shared" si="629"/>
        <v>0</v>
      </c>
      <c r="AZ663" s="41">
        <v>0</v>
      </c>
      <c r="BA663" s="41">
        <f t="shared" si="630"/>
        <v>3.6000000000000002E-4</v>
      </c>
      <c r="BC663" s="22">
        <f t="shared" si="631"/>
        <v>0</v>
      </c>
      <c r="BD663" s="22">
        <f t="shared" si="632"/>
        <v>0</v>
      </c>
      <c r="BE663" s="22">
        <f t="shared" si="633"/>
        <v>0</v>
      </c>
      <c r="BF663" s="22" t="s">
        <v>1341</v>
      </c>
      <c r="BG663" s="41">
        <v>767</v>
      </c>
    </row>
    <row r="664" spans="1:59" x14ac:dyDescent="0.3">
      <c r="A664" s="6" t="s">
        <v>652</v>
      </c>
      <c r="B664" s="15"/>
      <c r="C664" s="15" t="s">
        <v>1266</v>
      </c>
      <c r="D664" s="107" t="s">
        <v>2051</v>
      </c>
      <c r="E664" s="108"/>
      <c r="F664" s="15" t="s">
        <v>2391</v>
      </c>
      <c r="G664" s="22">
        <v>4</v>
      </c>
      <c r="H664" s="21">
        <v>0</v>
      </c>
      <c r="I664" s="22">
        <f t="shared" si="610"/>
        <v>0</v>
      </c>
      <c r="J664" s="22">
        <f t="shared" si="611"/>
        <v>0</v>
      </c>
      <c r="K664" s="22">
        <f t="shared" si="612"/>
        <v>0</v>
      </c>
      <c r="L664" s="22">
        <v>3.6000000000000002E-4</v>
      </c>
      <c r="M664" s="22">
        <f t="shared" si="613"/>
        <v>1.4400000000000001E-3</v>
      </c>
      <c r="N664" s="37" t="s">
        <v>2417</v>
      </c>
      <c r="O664" s="39"/>
      <c r="U664" s="41">
        <f t="shared" si="614"/>
        <v>0</v>
      </c>
      <c r="W664" s="41">
        <f t="shared" si="615"/>
        <v>0</v>
      </c>
      <c r="X664" s="41">
        <f t="shared" si="616"/>
        <v>0</v>
      </c>
      <c r="Y664" s="41">
        <f t="shared" si="617"/>
        <v>0</v>
      </c>
      <c r="Z664" s="41">
        <f t="shared" si="618"/>
        <v>0</v>
      </c>
      <c r="AA664" s="41">
        <f t="shared" si="619"/>
        <v>0</v>
      </c>
      <c r="AB664" s="41">
        <f t="shared" si="620"/>
        <v>0</v>
      </c>
      <c r="AC664" s="41">
        <f t="shared" si="621"/>
        <v>0</v>
      </c>
      <c r="AD664" s="31"/>
      <c r="AE664" s="22">
        <f t="shared" si="622"/>
        <v>0</v>
      </c>
      <c r="AF664" s="22">
        <f t="shared" si="623"/>
        <v>0</v>
      </c>
      <c r="AG664" s="22">
        <f t="shared" si="624"/>
        <v>0</v>
      </c>
      <c r="AI664" s="41">
        <v>21</v>
      </c>
      <c r="AJ664" s="41">
        <f t="shared" si="634"/>
        <v>0</v>
      </c>
      <c r="AK664" s="41">
        <f t="shared" si="635"/>
        <v>0</v>
      </c>
      <c r="AL664" s="43" t="s">
        <v>13</v>
      </c>
      <c r="AQ664" s="41">
        <f t="shared" si="625"/>
        <v>0</v>
      </c>
      <c r="AR664" s="41">
        <f t="shared" si="626"/>
        <v>0</v>
      </c>
      <c r="AS664" s="41">
        <f t="shared" si="627"/>
        <v>0</v>
      </c>
      <c r="AT664" s="44" t="s">
        <v>2445</v>
      </c>
      <c r="AU664" s="44" t="s">
        <v>2482</v>
      </c>
      <c r="AV664" s="31" t="s">
        <v>2486</v>
      </c>
      <c r="AX664" s="41">
        <f t="shared" si="628"/>
        <v>0</v>
      </c>
      <c r="AY664" s="41">
        <f t="shared" si="629"/>
        <v>0</v>
      </c>
      <c r="AZ664" s="41">
        <v>0</v>
      </c>
      <c r="BA664" s="41">
        <f t="shared" si="630"/>
        <v>1.4400000000000001E-3</v>
      </c>
      <c r="BC664" s="22">
        <f t="shared" si="631"/>
        <v>0</v>
      </c>
      <c r="BD664" s="22">
        <f t="shared" si="632"/>
        <v>0</v>
      </c>
      <c r="BE664" s="22">
        <f t="shared" si="633"/>
        <v>0</v>
      </c>
      <c r="BF664" s="22" t="s">
        <v>1341</v>
      </c>
      <c r="BG664" s="41">
        <v>767</v>
      </c>
    </row>
    <row r="665" spans="1:59" x14ac:dyDescent="0.3">
      <c r="A665" s="6" t="s">
        <v>653</v>
      </c>
      <c r="B665" s="15"/>
      <c r="C665" s="15" t="s">
        <v>1266</v>
      </c>
      <c r="D665" s="107" t="s">
        <v>2052</v>
      </c>
      <c r="E665" s="108"/>
      <c r="F665" s="15" t="s">
        <v>2391</v>
      </c>
      <c r="G665" s="22">
        <v>3</v>
      </c>
      <c r="H665" s="21">
        <v>0</v>
      </c>
      <c r="I665" s="22">
        <f t="shared" si="610"/>
        <v>0</v>
      </c>
      <c r="J665" s="22">
        <f t="shared" si="611"/>
        <v>0</v>
      </c>
      <c r="K665" s="22">
        <f t="shared" si="612"/>
        <v>0</v>
      </c>
      <c r="L665" s="22">
        <v>3.6000000000000002E-4</v>
      </c>
      <c r="M665" s="22">
        <f t="shared" si="613"/>
        <v>1.08E-3</v>
      </c>
      <c r="N665" s="37" t="s">
        <v>2417</v>
      </c>
      <c r="O665" s="39"/>
      <c r="U665" s="41">
        <f t="shared" si="614"/>
        <v>0</v>
      </c>
      <c r="W665" s="41">
        <f t="shared" si="615"/>
        <v>0</v>
      </c>
      <c r="X665" s="41">
        <f t="shared" si="616"/>
        <v>0</v>
      </c>
      <c r="Y665" s="41">
        <f t="shared" si="617"/>
        <v>0</v>
      </c>
      <c r="Z665" s="41">
        <f t="shared" si="618"/>
        <v>0</v>
      </c>
      <c r="AA665" s="41">
        <f t="shared" si="619"/>
        <v>0</v>
      </c>
      <c r="AB665" s="41">
        <f t="shared" si="620"/>
        <v>0</v>
      </c>
      <c r="AC665" s="41">
        <f t="shared" si="621"/>
        <v>0</v>
      </c>
      <c r="AD665" s="31"/>
      <c r="AE665" s="22">
        <f t="shared" si="622"/>
        <v>0</v>
      </c>
      <c r="AF665" s="22">
        <f t="shared" si="623"/>
        <v>0</v>
      </c>
      <c r="AG665" s="22">
        <f t="shared" si="624"/>
        <v>0</v>
      </c>
      <c r="AI665" s="41">
        <v>21</v>
      </c>
      <c r="AJ665" s="41">
        <f t="shared" si="634"/>
        <v>0</v>
      </c>
      <c r="AK665" s="41">
        <f t="shared" si="635"/>
        <v>0</v>
      </c>
      <c r="AL665" s="43" t="s">
        <v>13</v>
      </c>
      <c r="AQ665" s="41">
        <f t="shared" si="625"/>
        <v>0</v>
      </c>
      <c r="AR665" s="41">
        <f t="shared" si="626"/>
        <v>0</v>
      </c>
      <c r="AS665" s="41">
        <f t="shared" si="627"/>
        <v>0</v>
      </c>
      <c r="AT665" s="44" t="s">
        <v>2445</v>
      </c>
      <c r="AU665" s="44" t="s">
        <v>2482</v>
      </c>
      <c r="AV665" s="31" t="s">
        <v>2486</v>
      </c>
      <c r="AX665" s="41">
        <f t="shared" si="628"/>
        <v>0</v>
      </c>
      <c r="AY665" s="41">
        <f t="shared" si="629"/>
        <v>0</v>
      </c>
      <c r="AZ665" s="41">
        <v>0</v>
      </c>
      <c r="BA665" s="41">
        <f t="shared" si="630"/>
        <v>1.08E-3</v>
      </c>
      <c r="BC665" s="22">
        <f t="shared" si="631"/>
        <v>0</v>
      </c>
      <c r="BD665" s="22">
        <f t="shared" si="632"/>
        <v>0</v>
      </c>
      <c r="BE665" s="22">
        <f t="shared" si="633"/>
        <v>0</v>
      </c>
      <c r="BF665" s="22" t="s">
        <v>1341</v>
      </c>
      <c r="BG665" s="41">
        <v>767</v>
      </c>
    </row>
    <row r="666" spans="1:59" x14ac:dyDescent="0.3">
      <c r="A666" s="6" t="s">
        <v>654</v>
      </c>
      <c r="B666" s="15"/>
      <c r="C666" s="15" t="s">
        <v>1266</v>
      </c>
      <c r="D666" s="107" t="s">
        <v>2053</v>
      </c>
      <c r="E666" s="108"/>
      <c r="F666" s="15" t="s">
        <v>2391</v>
      </c>
      <c r="G666" s="22">
        <v>16</v>
      </c>
      <c r="H666" s="21">
        <v>0</v>
      </c>
      <c r="I666" s="22">
        <f t="shared" si="610"/>
        <v>0</v>
      </c>
      <c r="J666" s="22">
        <f t="shared" si="611"/>
        <v>0</v>
      </c>
      <c r="K666" s="22">
        <f t="shared" si="612"/>
        <v>0</v>
      </c>
      <c r="L666" s="22">
        <v>3.6000000000000002E-4</v>
      </c>
      <c r="M666" s="22">
        <f t="shared" si="613"/>
        <v>5.7600000000000004E-3</v>
      </c>
      <c r="N666" s="37" t="s">
        <v>2417</v>
      </c>
      <c r="O666" s="39"/>
      <c r="U666" s="41">
        <f t="shared" si="614"/>
        <v>0</v>
      </c>
      <c r="W666" s="41">
        <f t="shared" si="615"/>
        <v>0</v>
      </c>
      <c r="X666" s="41">
        <f t="shared" si="616"/>
        <v>0</v>
      </c>
      <c r="Y666" s="41">
        <f t="shared" si="617"/>
        <v>0</v>
      </c>
      <c r="Z666" s="41">
        <f t="shared" si="618"/>
        <v>0</v>
      </c>
      <c r="AA666" s="41">
        <f t="shared" si="619"/>
        <v>0</v>
      </c>
      <c r="AB666" s="41">
        <f t="shared" si="620"/>
        <v>0</v>
      </c>
      <c r="AC666" s="41">
        <f t="shared" si="621"/>
        <v>0</v>
      </c>
      <c r="AD666" s="31"/>
      <c r="AE666" s="22">
        <f t="shared" si="622"/>
        <v>0</v>
      </c>
      <c r="AF666" s="22">
        <f t="shared" si="623"/>
        <v>0</v>
      </c>
      <c r="AG666" s="22">
        <f t="shared" si="624"/>
        <v>0</v>
      </c>
      <c r="AI666" s="41">
        <v>21</v>
      </c>
      <c r="AJ666" s="41">
        <f t="shared" si="634"/>
        <v>0</v>
      </c>
      <c r="AK666" s="41">
        <f t="shared" si="635"/>
        <v>0</v>
      </c>
      <c r="AL666" s="43" t="s">
        <v>13</v>
      </c>
      <c r="AQ666" s="41">
        <f t="shared" si="625"/>
        <v>0</v>
      </c>
      <c r="AR666" s="41">
        <f t="shared" si="626"/>
        <v>0</v>
      </c>
      <c r="AS666" s="41">
        <f t="shared" si="627"/>
        <v>0</v>
      </c>
      <c r="AT666" s="44" t="s">
        <v>2445</v>
      </c>
      <c r="AU666" s="44" t="s">
        <v>2482</v>
      </c>
      <c r="AV666" s="31" t="s">
        <v>2486</v>
      </c>
      <c r="AX666" s="41">
        <f t="shared" si="628"/>
        <v>0</v>
      </c>
      <c r="AY666" s="41">
        <f t="shared" si="629"/>
        <v>0</v>
      </c>
      <c r="AZ666" s="41">
        <v>0</v>
      </c>
      <c r="BA666" s="41">
        <f t="shared" si="630"/>
        <v>5.7600000000000004E-3</v>
      </c>
      <c r="BC666" s="22">
        <f t="shared" si="631"/>
        <v>0</v>
      </c>
      <c r="BD666" s="22">
        <f t="shared" si="632"/>
        <v>0</v>
      </c>
      <c r="BE666" s="22">
        <f t="shared" si="633"/>
        <v>0</v>
      </c>
      <c r="BF666" s="22" t="s">
        <v>1341</v>
      </c>
      <c r="BG666" s="41">
        <v>767</v>
      </c>
    </row>
    <row r="667" spans="1:59" x14ac:dyDescent="0.3">
      <c r="A667" s="6" t="s">
        <v>655</v>
      </c>
      <c r="B667" s="15"/>
      <c r="C667" s="15" t="s">
        <v>1267</v>
      </c>
      <c r="D667" s="107" t="s">
        <v>2054</v>
      </c>
      <c r="E667" s="108"/>
      <c r="F667" s="15" t="s">
        <v>2391</v>
      </c>
      <c r="G667" s="22">
        <v>2</v>
      </c>
      <c r="H667" s="21">
        <v>0</v>
      </c>
      <c r="I667" s="22">
        <f t="shared" si="610"/>
        <v>0</v>
      </c>
      <c r="J667" s="22">
        <f t="shared" si="611"/>
        <v>0</v>
      </c>
      <c r="K667" s="22">
        <f t="shared" si="612"/>
        <v>0</v>
      </c>
      <c r="L667" s="22">
        <v>0</v>
      </c>
      <c r="M667" s="22">
        <f t="shared" si="613"/>
        <v>0</v>
      </c>
      <c r="N667" s="37" t="s">
        <v>2417</v>
      </c>
      <c r="O667" s="39"/>
      <c r="U667" s="41">
        <f t="shared" si="614"/>
        <v>0</v>
      </c>
      <c r="W667" s="41">
        <f t="shared" si="615"/>
        <v>0</v>
      </c>
      <c r="X667" s="41">
        <f t="shared" si="616"/>
        <v>0</v>
      </c>
      <c r="Y667" s="41">
        <f t="shared" si="617"/>
        <v>0</v>
      </c>
      <c r="Z667" s="41">
        <f t="shared" si="618"/>
        <v>0</v>
      </c>
      <c r="AA667" s="41">
        <f t="shared" si="619"/>
        <v>0</v>
      </c>
      <c r="AB667" s="41">
        <f t="shared" si="620"/>
        <v>0</v>
      </c>
      <c r="AC667" s="41">
        <f t="shared" si="621"/>
        <v>0</v>
      </c>
      <c r="AD667" s="31"/>
      <c r="AE667" s="22">
        <f t="shared" si="622"/>
        <v>0</v>
      </c>
      <c r="AF667" s="22">
        <f t="shared" si="623"/>
        <v>0</v>
      </c>
      <c r="AG667" s="22">
        <f t="shared" si="624"/>
        <v>0</v>
      </c>
      <c r="AI667" s="41">
        <v>21</v>
      </c>
      <c r="AJ667" s="41">
        <f t="shared" si="634"/>
        <v>0</v>
      </c>
      <c r="AK667" s="41">
        <f t="shared" si="635"/>
        <v>0</v>
      </c>
      <c r="AL667" s="43" t="s">
        <v>13</v>
      </c>
      <c r="AQ667" s="41">
        <f t="shared" si="625"/>
        <v>0</v>
      </c>
      <c r="AR667" s="41">
        <f t="shared" si="626"/>
        <v>0</v>
      </c>
      <c r="AS667" s="41">
        <f t="shared" si="627"/>
        <v>0</v>
      </c>
      <c r="AT667" s="44" t="s">
        <v>2445</v>
      </c>
      <c r="AU667" s="44" t="s">
        <v>2482</v>
      </c>
      <c r="AV667" s="31" t="s">
        <v>2486</v>
      </c>
      <c r="AX667" s="41">
        <f t="shared" si="628"/>
        <v>0</v>
      </c>
      <c r="AY667" s="41">
        <f t="shared" si="629"/>
        <v>0</v>
      </c>
      <c r="AZ667" s="41">
        <v>0</v>
      </c>
      <c r="BA667" s="41">
        <f t="shared" si="630"/>
        <v>0</v>
      </c>
      <c r="BC667" s="22">
        <f t="shared" si="631"/>
        <v>0</v>
      </c>
      <c r="BD667" s="22">
        <f t="shared" si="632"/>
        <v>0</v>
      </c>
      <c r="BE667" s="22">
        <f t="shared" si="633"/>
        <v>0</v>
      </c>
      <c r="BF667" s="22" t="s">
        <v>1341</v>
      </c>
      <c r="BG667" s="41">
        <v>767</v>
      </c>
    </row>
    <row r="668" spans="1:59" x14ac:dyDescent="0.3">
      <c r="A668" s="4" t="s">
        <v>656</v>
      </c>
      <c r="B668" s="13"/>
      <c r="C668" s="13" t="s">
        <v>1252</v>
      </c>
      <c r="D668" s="101" t="s">
        <v>2055</v>
      </c>
      <c r="E668" s="102"/>
      <c r="F668" s="13" t="s">
        <v>2387</v>
      </c>
      <c r="G668" s="21">
        <v>144.53</v>
      </c>
      <c r="H668" s="21">
        <v>0</v>
      </c>
      <c r="I668" s="21">
        <f t="shared" si="610"/>
        <v>0</v>
      </c>
      <c r="J668" s="21">
        <f t="shared" si="611"/>
        <v>0</v>
      </c>
      <c r="K668" s="21">
        <f t="shared" si="612"/>
        <v>0</v>
      </c>
      <c r="L668" s="21">
        <v>0</v>
      </c>
      <c r="M668" s="21">
        <f t="shared" si="613"/>
        <v>0</v>
      </c>
      <c r="N668" s="35" t="s">
        <v>2417</v>
      </c>
      <c r="O668" s="39"/>
      <c r="U668" s="41">
        <f t="shared" si="614"/>
        <v>0</v>
      </c>
      <c r="W668" s="41">
        <f t="shared" si="615"/>
        <v>0</v>
      </c>
      <c r="X668" s="41">
        <f t="shared" si="616"/>
        <v>0</v>
      </c>
      <c r="Y668" s="41">
        <f t="shared" si="617"/>
        <v>0</v>
      </c>
      <c r="Z668" s="41">
        <f t="shared" si="618"/>
        <v>0</v>
      </c>
      <c r="AA668" s="41">
        <f t="shared" si="619"/>
        <v>0</v>
      </c>
      <c r="AB668" s="41">
        <f t="shared" si="620"/>
        <v>0</v>
      </c>
      <c r="AC668" s="41">
        <f t="shared" si="621"/>
        <v>0</v>
      </c>
      <c r="AD668" s="31"/>
      <c r="AE668" s="21">
        <f t="shared" si="622"/>
        <v>0</v>
      </c>
      <c r="AF668" s="21">
        <f t="shared" si="623"/>
        <v>0</v>
      </c>
      <c r="AG668" s="21">
        <f t="shared" si="624"/>
        <v>0</v>
      </c>
      <c r="AI668" s="41">
        <v>21</v>
      </c>
      <c r="AJ668" s="41">
        <f>H668*0.594766058683584</f>
        <v>0</v>
      </c>
      <c r="AK668" s="41">
        <f>H668*(1-0.594766058683584)</f>
        <v>0</v>
      </c>
      <c r="AL668" s="42" t="s">
        <v>13</v>
      </c>
      <c r="AQ668" s="41">
        <f t="shared" si="625"/>
        <v>0</v>
      </c>
      <c r="AR668" s="41">
        <f t="shared" si="626"/>
        <v>0</v>
      </c>
      <c r="AS668" s="41">
        <f t="shared" si="627"/>
        <v>0</v>
      </c>
      <c r="AT668" s="44" t="s">
        <v>2445</v>
      </c>
      <c r="AU668" s="44" t="s">
        <v>2482</v>
      </c>
      <c r="AV668" s="31" t="s">
        <v>2486</v>
      </c>
      <c r="AX668" s="41">
        <f t="shared" si="628"/>
        <v>0</v>
      </c>
      <c r="AY668" s="41">
        <f t="shared" si="629"/>
        <v>0</v>
      </c>
      <c r="AZ668" s="41">
        <v>0</v>
      </c>
      <c r="BA668" s="41">
        <f t="shared" si="630"/>
        <v>0</v>
      </c>
      <c r="BC668" s="21">
        <f t="shared" si="631"/>
        <v>0</v>
      </c>
      <c r="BD668" s="21">
        <f t="shared" si="632"/>
        <v>0</v>
      </c>
      <c r="BE668" s="21">
        <f t="shared" si="633"/>
        <v>0</v>
      </c>
      <c r="BF668" s="21" t="s">
        <v>2492</v>
      </c>
      <c r="BG668" s="41">
        <v>767</v>
      </c>
    </row>
    <row r="669" spans="1:59" x14ac:dyDescent="0.3">
      <c r="A669" s="5"/>
      <c r="B669" s="14"/>
      <c r="C669" s="14" t="s">
        <v>773</v>
      </c>
      <c r="D669" s="103" t="s">
        <v>2056</v>
      </c>
      <c r="E669" s="104"/>
      <c r="F669" s="19" t="s">
        <v>6</v>
      </c>
      <c r="G669" s="19" t="s">
        <v>6</v>
      </c>
      <c r="H669" s="19" t="s">
        <v>6</v>
      </c>
      <c r="I669" s="47">
        <f>SUM(I670:I675)</f>
        <v>0</v>
      </c>
      <c r="J669" s="47">
        <f>SUM(J670:J675)</f>
        <v>0</v>
      </c>
      <c r="K669" s="47">
        <f>SUM(K670:K675)</f>
        <v>0</v>
      </c>
      <c r="L669" s="31"/>
      <c r="M669" s="47">
        <f>SUM(M670:M675)</f>
        <v>6.8182819200000004</v>
      </c>
      <c r="N669" s="36"/>
      <c r="O669" s="39"/>
      <c r="AD669" s="31"/>
      <c r="AN669" s="47">
        <f>SUM(AE670:AE675)</f>
        <v>0</v>
      </c>
      <c r="AO669" s="47">
        <f>SUM(AF670:AF675)</f>
        <v>0</v>
      </c>
      <c r="AP669" s="47">
        <f>SUM(AG670:AG675)</f>
        <v>0</v>
      </c>
    </row>
    <row r="670" spans="1:59" x14ac:dyDescent="0.3">
      <c r="A670" s="4" t="s">
        <v>657</v>
      </c>
      <c r="B670" s="13"/>
      <c r="C670" s="13" t="s">
        <v>1268</v>
      </c>
      <c r="D670" s="101" t="s">
        <v>2057</v>
      </c>
      <c r="E670" s="102"/>
      <c r="F670" s="13" t="s">
        <v>2387</v>
      </c>
      <c r="G670" s="21">
        <v>114.37</v>
      </c>
      <c r="H670" s="21">
        <v>0</v>
      </c>
      <c r="I670" s="21">
        <f t="shared" ref="I670:I675" si="636">G670*AJ670</f>
        <v>0</v>
      </c>
      <c r="J670" s="21">
        <f t="shared" ref="J670:J675" si="637">G670*AK670</f>
        <v>0</v>
      </c>
      <c r="K670" s="21">
        <f t="shared" ref="K670:K675" si="638">G670*H670</f>
        <v>0</v>
      </c>
      <c r="L670" s="21">
        <v>8.5100000000000002E-3</v>
      </c>
      <c r="M670" s="21">
        <f t="shared" ref="M670:M675" si="639">G670*L670</f>
        <v>0.97328870000000001</v>
      </c>
      <c r="N670" s="35" t="s">
        <v>2417</v>
      </c>
      <c r="O670" s="39"/>
      <c r="U670" s="41">
        <f t="shared" ref="U670:U675" si="640">IF(AL670="5",BE670,0)</f>
        <v>0</v>
      </c>
      <c r="W670" s="41">
        <f t="shared" ref="W670:W675" si="641">IF(AL670="1",BC670,0)</f>
        <v>0</v>
      </c>
      <c r="X670" s="41">
        <f t="shared" ref="X670:X675" si="642">IF(AL670="1",BD670,0)</f>
        <v>0</v>
      </c>
      <c r="Y670" s="41">
        <f t="shared" ref="Y670:Y675" si="643">IF(AL670="7",BC670,0)</f>
        <v>0</v>
      </c>
      <c r="Z670" s="41">
        <f t="shared" ref="Z670:Z675" si="644">IF(AL670="7",BD670,0)</f>
        <v>0</v>
      </c>
      <c r="AA670" s="41">
        <f t="shared" ref="AA670:AA675" si="645">IF(AL670="2",BC670,0)</f>
        <v>0</v>
      </c>
      <c r="AB670" s="41">
        <f t="shared" ref="AB670:AB675" si="646">IF(AL670="2",BD670,0)</f>
        <v>0</v>
      </c>
      <c r="AC670" s="41">
        <f t="shared" ref="AC670:AC675" si="647">IF(AL670="0",BE670,0)</f>
        <v>0</v>
      </c>
      <c r="AD670" s="31"/>
      <c r="AE670" s="21">
        <f t="shared" ref="AE670:AE675" si="648">IF(AI670=0,K670,0)</f>
        <v>0</v>
      </c>
      <c r="AF670" s="21">
        <f t="shared" ref="AF670:AF675" si="649">IF(AI670=15,K670,0)</f>
        <v>0</v>
      </c>
      <c r="AG670" s="21">
        <f t="shared" ref="AG670:AG675" si="650">IF(AI670=21,K670,0)</f>
        <v>0</v>
      </c>
      <c r="AI670" s="41">
        <v>21</v>
      </c>
      <c r="AJ670" s="41">
        <f>H670*0.255106609808102</f>
        <v>0</v>
      </c>
      <c r="AK670" s="41">
        <f>H670*(1-0.255106609808102)</f>
        <v>0</v>
      </c>
      <c r="AL670" s="42" t="s">
        <v>13</v>
      </c>
      <c r="AQ670" s="41">
        <f t="shared" ref="AQ670:AQ675" si="651">AR670+AS670</f>
        <v>0</v>
      </c>
      <c r="AR670" s="41">
        <f t="shared" ref="AR670:AR675" si="652">G670*AJ670</f>
        <v>0</v>
      </c>
      <c r="AS670" s="41">
        <f t="shared" ref="AS670:AS675" si="653">G670*AK670</f>
        <v>0</v>
      </c>
      <c r="AT670" s="44" t="s">
        <v>2446</v>
      </c>
      <c r="AU670" s="44" t="s">
        <v>2483</v>
      </c>
      <c r="AV670" s="31" t="s">
        <v>2486</v>
      </c>
      <c r="AX670" s="41">
        <f t="shared" ref="AX670:AX675" si="654">AR670+AS670</f>
        <v>0</v>
      </c>
      <c r="AY670" s="41">
        <f t="shared" ref="AY670:AY675" si="655">H670/(100-AZ670)*100</f>
        <v>0</v>
      </c>
      <c r="AZ670" s="41">
        <v>0</v>
      </c>
      <c r="BA670" s="41">
        <f t="shared" ref="BA670:BA675" si="656">M670</f>
        <v>0.97328870000000001</v>
      </c>
      <c r="BC670" s="21">
        <f t="shared" ref="BC670:BC675" si="657">G670*AJ670</f>
        <v>0</v>
      </c>
      <c r="BD670" s="21">
        <f t="shared" ref="BD670:BD675" si="658">G670*AK670</f>
        <v>0</v>
      </c>
      <c r="BE670" s="21">
        <f t="shared" ref="BE670:BE675" si="659">G670*H670</f>
        <v>0</v>
      </c>
      <c r="BF670" s="21" t="s">
        <v>2492</v>
      </c>
      <c r="BG670" s="41">
        <v>771</v>
      </c>
    </row>
    <row r="671" spans="1:59" x14ac:dyDescent="0.3">
      <c r="A671" s="4" t="s">
        <v>658</v>
      </c>
      <c r="B671" s="13"/>
      <c r="C671" s="13" t="s">
        <v>1269</v>
      </c>
      <c r="D671" s="101" t="s">
        <v>2058</v>
      </c>
      <c r="E671" s="102"/>
      <c r="F671" s="13" t="s">
        <v>2385</v>
      </c>
      <c r="G671" s="21">
        <v>0</v>
      </c>
      <c r="H671" s="21">
        <v>0</v>
      </c>
      <c r="I671" s="21">
        <f t="shared" si="636"/>
        <v>0</v>
      </c>
      <c r="J671" s="21">
        <f t="shared" si="637"/>
        <v>0</v>
      </c>
      <c r="K671" s="21">
        <f t="shared" si="638"/>
        <v>0</v>
      </c>
      <c r="L671" s="21">
        <v>1.6000000000000001E-4</v>
      </c>
      <c r="M671" s="21">
        <f t="shared" si="639"/>
        <v>0</v>
      </c>
      <c r="N671" s="35" t="s">
        <v>2417</v>
      </c>
      <c r="O671" s="39"/>
      <c r="U671" s="41">
        <f t="shared" si="640"/>
        <v>0</v>
      </c>
      <c r="W671" s="41">
        <f t="shared" si="641"/>
        <v>0</v>
      </c>
      <c r="X671" s="41">
        <f t="shared" si="642"/>
        <v>0</v>
      </c>
      <c r="Y671" s="41">
        <f t="shared" si="643"/>
        <v>0</v>
      </c>
      <c r="Z671" s="41">
        <f t="shared" si="644"/>
        <v>0</v>
      </c>
      <c r="AA671" s="41">
        <f t="shared" si="645"/>
        <v>0</v>
      </c>
      <c r="AB671" s="41">
        <f t="shared" si="646"/>
        <v>0</v>
      </c>
      <c r="AC671" s="41">
        <f t="shared" si="647"/>
        <v>0</v>
      </c>
      <c r="AD671" s="31"/>
      <c r="AE671" s="21">
        <f t="shared" si="648"/>
        <v>0</v>
      </c>
      <c r="AF671" s="21">
        <f t="shared" si="649"/>
        <v>0</v>
      </c>
      <c r="AG671" s="21">
        <f t="shared" si="650"/>
        <v>0</v>
      </c>
      <c r="AI671" s="41">
        <v>21</v>
      </c>
      <c r="AJ671" s="41">
        <f>H671*0</f>
        <v>0</v>
      </c>
      <c r="AK671" s="41">
        <f>H671*(1-0)</f>
        <v>0</v>
      </c>
      <c r="AL671" s="42" t="s">
        <v>13</v>
      </c>
      <c r="AQ671" s="41">
        <f t="shared" si="651"/>
        <v>0</v>
      </c>
      <c r="AR671" s="41">
        <f t="shared" si="652"/>
        <v>0</v>
      </c>
      <c r="AS671" s="41">
        <f t="shared" si="653"/>
        <v>0</v>
      </c>
      <c r="AT671" s="44" t="s">
        <v>2446</v>
      </c>
      <c r="AU671" s="44" t="s">
        <v>2483</v>
      </c>
      <c r="AV671" s="31" t="s">
        <v>2486</v>
      </c>
      <c r="AX671" s="41">
        <f t="shared" si="654"/>
        <v>0</v>
      </c>
      <c r="AY671" s="41">
        <f t="shared" si="655"/>
        <v>0</v>
      </c>
      <c r="AZ671" s="41">
        <v>0</v>
      </c>
      <c r="BA671" s="41">
        <f t="shared" si="656"/>
        <v>0</v>
      </c>
      <c r="BC671" s="21">
        <f t="shared" si="657"/>
        <v>0</v>
      </c>
      <c r="BD671" s="21">
        <f t="shared" si="658"/>
        <v>0</v>
      </c>
      <c r="BE671" s="21">
        <f t="shared" si="659"/>
        <v>0</v>
      </c>
      <c r="BF671" s="21" t="s">
        <v>2492</v>
      </c>
      <c r="BG671" s="41">
        <v>771</v>
      </c>
    </row>
    <row r="672" spans="1:59" x14ac:dyDescent="0.3">
      <c r="A672" s="6" t="s">
        <v>659</v>
      </c>
      <c r="B672" s="15"/>
      <c r="C672" s="15" t="s">
        <v>1270</v>
      </c>
      <c r="D672" s="107" t="s">
        <v>2059</v>
      </c>
      <c r="E672" s="108"/>
      <c r="F672" s="15" t="s">
        <v>2387</v>
      </c>
      <c r="G672" s="22">
        <v>131.52549999999999</v>
      </c>
      <c r="H672" s="21">
        <v>0</v>
      </c>
      <c r="I672" s="22">
        <f t="shared" si="636"/>
        <v>0</v>
      </c>
      <c r="J672" s="22">
        <f t="shared" si="637"/>
        <v>0</v>
      </c>
      <c r="K672" s="22">
        <f t="shared" si="638"/>
        <v>0</v>
      </c>
      <c r="L672" s="22">
        <v>4.444E-2</v>
      </c>
      <c r="M672" s="22">
        <f t="shared" si="639"/>
        <v>5.8449932200000001</v>
      </c>
      <c r="N672" s="37" t="s">
        <v>2417</v>
      </c>
      <c r="O672" s="39"/>
      <c r="U672" s="41">
        <f t="shared" si="640"/>
        <v>0</v>
      </c>
      <c r="W672" s="41">
        <f t="shared" si="641"/>
        <v>0</v>
      </c>
      <c r="X672" s="41">
        <f t="shared" si="642"/>
        <v>0</v>
      </c>
      <c r="Y672" s="41">
        <f t="shared" si="643"/>
        <v>0</v>
      </c>
      <c r="Z672" s="41">
        <f t="shared" si="644"/>
        <v>0</v>
      </c>
      <c r="AA672" s="41">
        <f t="shared" si="645"/>
        <v>0</v>
      </c>
      <c r="AB672" s="41">
        <f t="shared" si="646"/>
        <v>0</v>
      </c>
      <c r="AC672" s="41">
        <f t="shared" si="647"/>
        <v>0</v>
      </c>
      <c r="AD672" s="31"/>
      <c r="AE672" s="22">
        <f t="shared" si="648"/>
        <v>0</v>
      </c>
      <c r="AF672" s="22">
        <f t="shared" si="649"/>
        <v>0</v>
      </c>
      <c r="AG672" s="22">
        <f t="shared" si="650"/>
        <v>0</v>
      </c>
      <c r="AI672" s="41">
        <v>21</v>
      </c>
      <c r="AJ672" s="41">
        <f>H672*1</f>
        <v>0</v>
      </c>
      <c r="AK672" s="41">
        <f>H672*(1-1)</f>
        <v>0</v>
      </c>
      <c r="AL672" s="43" t="s">
        <v>13</v>
      </c>
      <c r="AQ672" s="41">
        <f t="shared" si="651"/>
        <v>0</v>
      </c>
      <c r="AR672" s="41">
        <f t="shared" si="652"/>
        <v>0</v>
      </c>
      <c r="AS672" s="41">
        <f t="shared" si="653"/>
        <v>0</v>
      </c>
      <c r="AT672" s="44" t="s">
        <v>2446</v>
      </c>
      <c r="AU672" s="44" t="s">
        <v>2483</v>
      </c>
      <c r="AV672" s="31" t="s">
        <v>2486</v>
      </c>
      <c r="AX672" s="41">
        <f t="shared" si="654"/>
        <v>0</v>
      </c>
      <c r="AY672" s="41">
        <f t="shared" si="655"/>
        <v>0</v>
      </c>
      <c r="AZ672" s="41">
        <v>0</v>
      </c>
      <c r="BA672" s="41">
        <f t="shared" si="656"/>
        <v>5.8449932200000001</v>
      </c>
      <c r="BC672" s="22">
        <f t="shared" si="657"/>
        <v>0</v>
      </c>
      <c r="BD672" s="22">
        <f t="shared" si="658"/>
        <v>0</v>
      </c>
      <c r="BE672" s="22">
        <f t="shared" si="659"/>
        <v>0</v>
      </c>
      <c r="BF672" s="22" t="s">
        <v>1341</v>
      </c>
      <c r="BG672" s="41">
        <v>771</v>
      </c>
    </row>
    <row r="673" spans="1:59" x14ac:dyDescent="0.3">
      <c r="A673" s="4" t="s">
        <v>660</v>
      </c>
      <c r="B673" s="13"/>
      <c r="C673" s="13" t="s">
        <v>1271</v>
      </c>
      <c r="D673" s="101" t="s">
        <v>2060</v>
      </c>
      <c r="E673" s="102"/>
      <c r="F673" s="13" t="s">
        <v>2387</v>
      </c>
      <c r="G673" s="21">
        <v>114.37</v>
      </c>
      <c r="H673" s="21">
        <v>0</v>
      </c>
      <c r="I673" s="21">
        <f t="shared" si="636"/>
        <v>0</v>
      </c>
      <c r="J673" s="21">
        <f t="shared" si="637"/>
        <v>0</v>
      </c>
      <c r="K673" s="21">
        <f t="shared" si="638"/>
        <v>0</v>
      </c>
      <c r="L673" s="21">
        <v>0</v>
      </c>
      <c r="M673" s="21">
        <f t="shared" si="639"/>
        <v>0</v>
      </c>
      <c r="N673" s="35" t="s">
        <v>2417</v>
      </c>
      <c r="O673" s="39"/>
      <c r="U673" s="41">
        <f t="shared" si="640"/>
        <v>0</v>
      </c>
      <c r="W673" s="41">
        <f t="shared" si="641"/>
        <v>0</v>
      </c>
      <c r="X673" s="41">
        <f t="shared" si="642"/>
        <v>0</v>
      </c>
      <c r="Y673" s="41">
        <f t="shared" si="643"/>
        <v>0</v>
      </c>
      <c r="Z673" s="41">
        <f t="shared" si="644"/>
        <v>0</v>
      </c>
      <c r="AA673" s="41">
        <f t="shared" si="645"/>
        <v>0</v>
      </c>
      <c r="AB673" s="41">
        <f t="shared" si="646"/>
        <v>0</v>
      </c>
      <c r="AC673" s="41">
        <f t="shared" si="647"/>
        <v>0</v>
      </c>
      <c r="AD673" s="31"/>
      <c r="AE673" s="21">
        <f t="shared" si="648"/>
        <v>0</v>
      </c>
      <c r="AF673" s="21">
        <f t="shared" si="649"/>
        <v>0</v>
      </c>
      <c r="AG673" s="21">
        <f t="shared" si="650"/>
        <v>0</v>
      </c>
      <c r="AI673" s="41">
        <v>21</v>
      </c>
      <c r="AJ673" s="41">
        <f>H673*0</f>
        <v>0</v>
      </c>
      <c r="AK673" s="41">
        <f>H673*(1-0)</f>
        <v>0</v>
      </c>
      <c r="AL673" s="42" t="s">
        <v>13</v>
      </c>
      <c r="AQ673" s="41">
        <f t="shared" si="651"/>
        <v>0</v>
      </c>
      <c r="AR673" s="41">
        <f t="shared" si="652"/>
        <v>0</v>
      </c>
      <c r="AS673" s="41">
        <f t="shared" si="653"/>
        <v>0</v>
      </c>
      <c r="AT673" s="44" t="s">
        <v>2446</v>
      </c>
      <c r="AU673" s="44" t="s">
        <v>2483</v>
      </c>
      <c r="AV673" s="31" t="s">
        <v>2486</v>
      </c>
      <c r="AX673" s="41">
        <f t="shared" si="654"/>
        <v>0</v>
      </c>
      <c r="AY673" s="41">
        <f t="shared" si="655"/>
        <v>0</v>
      </c>
      <c r="AZ673" s="41">
        <v>0</v>
      </c>
      <c r="BA673" s="41">
        <f t="shared" si="656"/>
        <v>0</v>
      </c>
      <c r="BC673" s="21">
        <f t="shared" si="657"/>
        <v>0</v>
      </c>
      <c r="BD673" s="21">
        <f t="shared" si="658"/>
        <v>0</v>
      </c>
      <c r="BE673" s="21">
        <f t="shared" si="659"/>
        <v>0</v>
      </c>
      <c r="BF673" s="21" t="s">
        <v>2492</v>
      </c>
      <c r="BG673" s="41">
        <v>771</v>
      </c>
    </row>
    <row r="674" spans="1:59" x14ac:dyDescent="0.3">
      <c r="A674" s="4" t="s">
        <v>661</v>
      </c>
      <c r="B674" s="13"/>
      <c r="C674" s="13" t="s">
        <v>1272</v>
      </c>
      <c r="D674" s="101" t="s">
        <v>2061</v>
      </c>
      <c r="E674" s="102"/>
      <c r="F674" s="13" t="s">
        <v>2387</v>
      </c>
      <c r="G674" s="21">
        <v>114.37</v>
      </c>
      <c r="H674" s="21">
        <v>0</v>
      </c>
      <c r="I674" s="21">
        <f t="shared" si="636"/>
        <v>0</v>
      </c>
      <c r="J674" s="21">
        <f t="shared" si="637"/>
        <v>0</v>
      </c>
      <c r="K674" s="21">
        <f t="shared" si="638"/>
        <v>0</v>
      </c>
      <c r="L674" s="21">
        <v>0</v>
      </c>
      <c r="M674" s="21">
        <f t="shared" si="639"/>
        <v>0</v>
      </c>
      <c r="N674" s="35" t="s">
        <v>2417</v>
      </c>
      <c r="O674" s="39"/>
      <c r="U674" s="41">
        <f t="shared" si="640"/>
        <v>0</v>
      </c>
      <c r="W674" s="41">
        <f t="shared" si="641"/>
        <v>0</v>
      </c>
      <c r="X674" s="41">
        <f t="shared" si="642"/>
        <v>0</v>
      </c>
      <c r="Y674" s="41">
        <f t="shared" si="643"/>
        <v>0</v>
      </c>
      <c r="Z674" s="41">
        <f t="shared" si="644"/>
        <v>0</v>
      </c>
      <c r="AA674" s="41">
        <f t="shared" si="645"/>
        <v>0</v>
      </c>
      <c r="AB674" s="41">
        <f t="shared" si="646"/>
        <v>0</v>
      </c>
      <c r="AC674" s="41">
        <f t="shared" si="647"/>
        <v>0</v>
      </c>
      <c r="AD674" s="31"/>
      <c r="AE674" s="21">
        <f t="shared" si="648"/>
        <v>0</v>
      </c>
      <c r="AF674" s="21">
        <f t="shared" si="649"/>
        <v>0</v>
      </c>
      <c r="AG674" s="21">
        <f t="shared" si="650"/>
        <v>0</v>
      </c>
      <c r="AI674" s="41">
        <v>21</v>
      </c>
      <c r="AJ674" s="41">
        <f>H674*0</f>
        <v>0</v>
      </c>
      <c r="AK674" s="41">
        <f>H674*(1-0)</f>
        <v>0</v>
      </c>
      <c r="AL674" s="42" t="s">
        <v>13</v>
      </c>
      <c r="AQ674" s="41">
        <f t="shared" si="651"/>
        <v>0</v>
      </c>
      <c r="AR674" s="41">
        <f t="shared" si="652"/>
        <v>0</v>
      </c>
      <c r="AS674" s="41">
        <f t="shared" si="653"/>
        <v>0</v>
      </c>
      <c r="AT674" s="44" t="s">
        <v>2446</v>
      </c>
      <c r="AU674" s="44" t="s">
        <v>2483</v>
      </c>
      <c r="AV674" s="31" t="s">
        <v>2486</v>
      </c>
      <c r="AX674" s="41">
        <f t="shared" si="654"/>
        <v>0</v>
      </c>
      <c r="AY674" s="41">
        <f t="shared" si="655"/>
        <v>0</v>
      </c>
      <c r="AZ674" s="41">
        <v>0</v>
      </c>
      <c r="BA674" s="41">
        <f t="shared" si="656"/>
        <v>0</v>
      </c>
      <c r="BC674" s="21">
        <f t="shared" si="657"/>
        <v>0</v>
      </c>
      <c r="BD674" s="21">
        <f t="shared" si="658"/>
        <v>0</v>
      </c>
      <c r="BE674" s="21">
        <f t="shared" si="659"/>
        <v>0</v>
      </c>
      <c r="BF674" s="21" t="s">
        <v>2492</v>
      </c>
      <c r="BG674" s="41">
        <v>771</v>
      </c>
    </row>
    <row r="675" spans="1:59" x14ac:dyDescent="0.3">
      <c r="A675" s="4" t="s">
        <v>662</v>
      </c>
      <c r="B675" s="13"/>
      <c r="C675" s="13" t="s">
        <v>1273</v>
      </c>
      <c r="D675" s="101" t="s">
        <v>2062</v>
      </c>
      <c r="E675" s="102"/>
      <c r="F675" s="13" t="s">
        <v>2385</v>
      </c>
      <c r="G675" s="21">
        <v>95</v>
      </c>
      <c r="H675" s="21">
        <v>0</v>
      </c>
      <c r="I675" s="21">
        <f t="shared" si="636"/>
        <v>0</v>
      </c>
      <c r="J675" s="21">
        <f t="shared" si="637"/>
        <v>0</v>
      </c>
      <c r="K675" s="21">
        <f t="shared" si="638"/>
        <v>0</v>
      </c>
      <c r="L675" s="21">
        <v>0</v>
      </c>
      <c r="M675" s="21">
        <f t="shared" si="639"/>
        <v>0</v>
      </c>
      <c r="N675" s="35" t="s">
        <v>2417</v>
      </c>
      <c r="O675" s="39"/>
      <c r="U675" s="41">
        <f t="shared" si="640"/>
        <v>0</v>
      </c>
      <c r="W675" s="41">
        <f t="shared" si="641"/>
        <v>0</v>
      </c>
      <c r="X675" s="41">
        <f t="shared" si="642"/>
        <v>0</v>
      </c>
      <c r="Y675" s="41">
        <f t="shared" si="643"/>
        <v>0</v>
      </c>
      <c r="Z675" s="41">
        <f t="shared" si="644"/>
        <v>0</v>
      </c>
      <c r="AA675" s="41">
        <f t="shared" si="645"/>
        <v>0</v>
      </c>
      <c r="AB675" s="41">
        <f t="shared" si="646"/>
        <v>0</v>
      </c>
      <c r="AC675" s="41">
        <f t="shared" si="647"/>
        <v>0</v>
      </c>
      <c r="AD675" s="31"/>
      <c r="AE675" s="21">
        <f t="shared" si="648"/>
        <v>0</v>
      </c>
      <c r="AF675" s="21">
        <f t="shared" si="649"/>
        <v>0</v>
      </c>
      <c r="AG675" s="21">
        <f t="shared" si="650"/>
        <v>0</v>
      </c>
      <c r="AI675" s="41">
        <v>21</v>
      </c>
      <c r="AJ675" s="41">
        <f>H675*0</f>
        <v>0</v>
      </c>
      <c r="AK675" s="41">
        <f>H675*(1-0)</f>
        <v>0</v>
      </c>
      <c r="AL675" s="42" t="s">
        <v>13</v>
      </c>
      <c r="AQ675" s="41">
        <f t="shared" si="651"/>
        <v>0</v>
      </c>
      <c r="AR675" s="41">
        <f t="shared" si="652"/>
        <v>0</v>
      </c>
      <c r="AS675" s="41">
        <f t="shared" si="653"/>
        <v>0</v>
      </c>
      <c r="AT675" s="44" t="s">
        <v>2446</v>
      </c>
      <c r="AU675" s="44" t="s">
        <v>2483</v>
      </c>
      <c r="AV675" s="31" t="s">
        <v>2486</v>
      </c>
      <c r="AX675" s="41">
        <f t="shared" si="654"/>
        <v>0</v>
      </c>
      <c r="AY675" s="41">
        <f t="shared" si="655"/>
        <v>0</v>
      </c>
      <c r="AZ675" s="41">
        <v>0</v>
      </c>
      <c r="BA675" s="41">
        <f t="shared" si="656"/>
        <v>0</v>
      </c>
      <c r="BC675" s="21">
        <f t="shared" si="657"/>
        <v>0</v>
      </c>
      <c r="BD675" s="21">
        <f t="shared" si="658"/>
        <v>0</v>
      </c>
      <c r="BE675" s="21">
        <f t="shared" si="659"/>
        <v>0</v>
      </c>
      <c r="BF675" s="21" t="s">
        <v>2492</v>
      </c>
      <c r="BG675" s="41">
        <v>771</v>
      </c>
    </row>
    <row r="676" spans="1:59" x14ac:dyDescent="0.3">
      <c r="A676" s="5"/>
      <c r="B676" s="14"/>
      <c r="C676" s="14" t="s">
        <v>778</v>
      </c>
      <c r="D676" s="103" t="s">
        <v>2063</v>
      </c>
      <c r="E676" s="104"/>
      <c r="F676" s="19" t="s">
        <v>6</v>
      </c>
      <c r="G676" s="19" t="s">
        <v>6</v>
      </c>
      <c r="H676" s="19" t="s">
        <v>6</v>
      </c>
      <c r="I676" s="47">
        <f>SUM(I677:I682)</f>
        <v>0</v>
      </c>
      <c r="J676" s="47">
        <f>SUM(J677:J682)</f>
        <v>0</v>
      </c>
      <c r="K676" s="47">
        <f>SUM(K677:K682)</f>
        <v>0</v>
      </c>
      <c r="L676" s="31"/>
      <c r="M676" s="47">
        <f>SUM(M677:M682)</f>
        <v>4.1049230999999997</v>
      </c>
      <c r="N676" s="36"/>
      <c r="O676" s="39"/>
      <c r="AD676" s="31"/>
      <c r="AN676" s="47">
        <f>SUM(AE677:AE682)</f>
        <v>0</v>
      </c>
      <c r="AO676" s="47">
        <f>SUM(AF677:AF682)</f>
        <v>0</v>
      </c>
      <c r="AP676" s="47">
        <f>SUM(AG677:AG682)</f>
        <v>0</v>
      </c>
    </row>
    <row r="677" spans="1:59" x14ac:dyDescent="0.3">
      <c r="A677" s="4" t="s">
        <v>663</v>
      </c>
      <c r="B677" s="13"/>
      <c r="C677" s="13" t="s">
        <v>1274</v>
      </c>
      <c r="D677" s="101" t="s">
        <v>2064</v>
      </c>
      <c r="E677" s="102"/>
      <c r="F677" s="13" t="s">
        <v>2387</v>
      </c>
      <c r="G677" s="21">
        <v>424.56</v>
      </c>
      <c r="H677" s="21">
        <v>0</v>
      </c>
      <c r="I677" s="21">
        <f t="shared" ref="I677:I682" si="660">G677*AJ677</f>
        <v>0</v>
      </c>
      <c r="J677" s="21">
        <f t="shared" ref="J677:J682" si="661">G677*AK677</f>
        <v>0</v>
      </c>
      <c r="K677" s="21">
        <f t="shared" ref="K677:K682" si="662">G677*H677</f>
        <v>0</v>
      </c>
      <c r="L677" s="21">
        <v>2.0899999999999998E-3</v>
      </c>
      <c r="M677" s="21">
        <f t="shared" ref="M677:M682" si="663">G677*L677</f>
        <v>0.88733039999999996</v>
      </c>
      <c r="N677" s="35" t="s">
        <v>2417</v>
      </c>
      <c r="O677" s="39"/>
      <c r="U677" s="41">
        <f t="shared" ref="U677:U682" si="664">IF(AL677="5",BE677,0)</f>
        <v>0</v>
      </c>
      <c r="W677" s="41">
        <f t="shared" ref="W677:W682" si="665">IF(AL677="1",BC677,0)</f>
        <v>0</v>
      </c>
      <c r="X677" s="41">
        <f t="shared" ref="X677:X682" si="666">IF(AL677="1",BD677,0)</f>
        <v>0</v>
      </c>
      <c r="Y677" s="41">
        <f t="shared" ref="Y677:Y682" si="667">IF(AL677="7",BC677,0)</f>
        <v>0</v>
      </c>
      <c r="Z677" s="41">
        <f t="shared" ref="Z677:Z682" si="668">IF(AL677="7",BD677,0)</f>
        <v>0</v>
      </c>
      <c r="AA677" s="41">
        <f t="shared" ref="AA677:AA682" si="669">IF(AL677="2",BC677,0)</f>
        <v>0</v>
      </c>
      <c r="AB677" s="41">
        <f t="shared" ref="AB677:AB682" si="670">IF(AL677="2",BD677,0)</f>
        <v>0</v>
      </c>
      <c r="AC677" s="41">
        <f t="shared" ref="AC677:AC682" si="671">IF(AL677="0",BE677,0)</f>
        <v>0</v>
      </c>
      <c r="AD677" s="31"/>
      <c r="AE677" s="21">
        <f t="shared" ref="AE677:AE682" si="672">IF(AI677=0,K677,0)</f>
        <v>0</v>
      </c>
      <c r="AF677" s="21">
        <f t="shared" ref="AF677:AF682" si="673">IF(AI677=15,K677,0)</f>
        <v>0</v>
      </c>
      <c r="AG677" s="21">
        <f t="shared" ref="AG677:AG682" si="674">IF(AI677=21,K677,0)</f>
        <v>0</v>
      </c>
      <c r="AI677" s="41">
        <v>21</v>
      </c>
      <c r="AJ677" s="41">
        <f>H677*0.933568893105846</f>
        <v>0</v>
      </c>
      <c r="AK677" s="41">
        <f>H677*(1-0.933568893105846)</f>
        <v>0</v>
      </c>
      <c r="AL677" s="42" t="s">
        <v>13</v>
      </c>
      <c r="AQ677" s="41">
        <f t="shared" ref="AQ677:AQ682" si="675">AR677+AS677</f>
        <v>0</v>
      </c>
      <c r="AR677" s="41">
        <f t="shared" ref="AR677:AR682" si="676">G677*AJ677</f>
        <v>0</v>
      </c>
      <c r="AS677" s="41">
        <f t="shared" ref="AS677:AS682" si="677">G677*AK677</f>
        <v>0</v>
      </c>
      <c r="AT677" s="44" t="s">
        <v>2447</v>
      </c>
      <c r="AU677" s="44" t="s">
        <v>2483</v>
      </c>
      <c r="AV677" s="31" t="s">
        <v>2486</v>
      </c>
      <c r="AX677" s="41">
        <f t="shared" ref="AX677:AX682" si="678">AR677+AS677</f>
        <v>0</v>
      </c>
      <c r="AY677" s="41">
        <f t="shared" ref="AY677:AY682" si="679">H677/(100-AZ677)*100</f>
        <v>0</v>
      </c>
      <c r="AZ677" s="41">
        <v>0</v>
      </c>
      <c r="BA677" s="41">
        <f t="shared" ref="BA677:BA682" si="680">M677</f>
        <v>0.88733039999999996</v>
      </c>
      <c r="BC677" s="21">
        <f t="shared" ref="BC677:BC682" si="681">G677*AJ677</f>
        <v>0</v>
      </c>
      <c r="BD677" s="21">
        <f t="shared" ref="BD677:BD682" si="682">G677*AK677</f>
        <v>0</v>
      </c>
      <c r="BE677" s="21">
        <f t="shared" ref="BE677:BE682" si="683">G677*H677</f>
        <v>0</v>
      </c>
      <c r="BF677" s="21" t="s">
        <v>2492</v>
      </c>
      <c r="BG677" s="41">
        <v>776</v>
      </c>
    </row>
    <row r="678" spans="1:59" x14ac:dyDescent="0.3">
      <c r="A678" s="4" t="s">
        <v>664</v>
      </c>
      <c r="B678" s="13"/>
      <c r="C678" s="13" t="s">
        <v>1275</v>
      </c>
      <c r="D678" s="101" t="s">
        <v>2065</v>
      </c>
      <c r="E678" s="102"/>
      <c r="F678" s="13" t="s">
        <v>2387</v>
      </c>
      <c r="G678" s="21">
        <v>914.55</v>
      </c>
      <c r="H678" s="21">
        <v>0</v>
      </c>
      <c r="I678" s="21">
        <f t="shared" si="660"/>
        <v>0</v>
      </c>
      <c r="J678" s="21">
        <f t="shared" si="661"/>
        <v>0</v>
      </c>
      <c r="K678" s="21">
        <f t="shared" si="662"/>
        <v>0</v>
      </c>
      <c r="L678" s="21">
        <v>2.5000000000000001E-4</v>
      </c>
      <c r="M678" s="21">
        <f t="shared" si="663"/>
        <v>0.22863749999999999</v>
      </c>
      <c r="N678" s="35" t="s">
        <v>2417</v>
      </c>
      <c r="O678" s="39"/>
      <c r="U678" s="41">
        <f t="shared" si="664"/>
        <v>0</v>
      </c>
      <c r="W678" s="41">
        <f t="shared" si="665"/>
        <v>0</v>
      </c>
      <c r="X678" s="41">
        <f t="shared" si="666"/>
        <v>0</v>
      </c>
      <c r="Y678" s="41">
        <f t="shared" si="667"/>
        <v>0</v>
      </c>
      <c r="Z678" s="41">
        <f t="shared" si="668"/>
        <v>0</v>
      </c>
      <c r="AA678" s="41">
        <f t="shared" si="669"/>
        <v>0</v>
      </c>
      <c r="AB678" s="41">
        <f t="shared" si="670"/>
        <v>0</v>
      </c>
      <c r="AC678" s="41">
        <f t="shared" si="671"/>
        <v>0</v>
      </c>
      <c r="AD678" s="31"/>
      <c r="AE678" s="21">
        <f t="shared" si="672"/>
        <v>0</v>
      </c>
      <c r="AF678" s="21">
        <f t="shared" si="673"/>
        <v>0</v>
      </c>
      <c r="AG678" s="21">
        <f t="shared" si="674"/>
        <v>0</v>
      </c>
      <c r="AI678" s="41">
        <v>21</v>
      </c>
      <c r="AJ678" s="41">
        <f>H678*0.271376289779919</f>
        <v>0</v>
      </c>
      <c r="AK678" s="41">
        <f>H678*(1-0.271376289779919)</f>
        <v>0</v>
      </c>
      <c r="AL678" s="42" t="s">
        <v>13</v>
      </c>
      <c r="AQ678" s="41">
        <f t="shared" si="675"/>
        <v>0</v>
      </c>
      <c r="AR678" s="41">
        <f t="shared" si="676"/>
        <v>0</v>
      </c>
      <c r="AS678" s="41">
        <f t="shared" si="677"/>
        <v>0</v>
      </c>
      <c r="AT678" s="44" t="s">
        <v>2447</v>
      </c>
      <c r="AU678" s="44" t="s">
        <v>2483</v>
      </c>
      <c r="AV678" s="31" t="s">
        <v>2486</v>
      </c>
      <c r="AX678" s="41">
        <f t="shared" si="678"/>
        <v>0</v>
      </c>
      <c r="AY678" s="41">
        <f t="shared" si="679"/>
        <v>0</v>
      </c>
      <c r="AZ678" s="41">
        <v>0</v>
      </c>
      <c r="BA678" s="41">
        <f t="shared" si="680"/>
        <v>0.22863749999999999</v>
      </c>
      <c r="BC678" s="21">
        <f t="shared" si="681"/>
        <v>0</v>
      </c>
      <c r="BD678" s="21">
        <f t="shared" si="682"/>
        <v>0</v>
      </c>
      <c r="BE678" s="21">
        <f t="shared" si="683"/>
        <v>0</v>
      </c>
      <c r="BF678" s="21" t="s">
        <v>2492</v>
      </c>
      <c r="BG678" s="41">
        <v>776</v>
      </c>
    </row>
    <row r="679" spans="1:59" x14ac:dyDescent="0.3">
      <c r="A679" s="4" t="s">
        <v>665</v>
      </c>
      <c r="B679" s="13"/>
      <c r="C679" s="13" t="s">
        <v>1276</v>
      </c>
      <c r="D679" s="101" t="s">
        <v>2066</v>
      </c>
      <c r="E679" s="102"/>
      <c r="F679" s="13" t="s">
        <v>2385</v>
      </c>
      <c r="G679" s="21">
        <v>20.100000000000001</v>
      </c>
      <c r="H679" s="21">
        <v>0</v>
      </c>
      <c r="I679" s="21">
        <f t="shared" si="660"/>
        <v>0</v>
      </c>
      <c r="J679" s="21">
        <f t="shared" si="661"/>
        <v>0</v>
      </c>
      <c r="K679" s="21">
        <f t="shared" si="662"/>
        <v>0</v>
      </c>
      <c r="L679" s="21">
        <v>3.8000000000000002E-4</v>
      </c>
      <c r="M679" s="21">
        <f t="shared" si="663"/>
        <v>7.6380000000000007E-3</v>
      </c>
      <c r="N679" s="35" t="s">
        <v>2417</v>
      </c>
      <c r="O679" s="39"/>
      <c r="U679" s="41">
        <f t="shared" si="664"/>
        <v>0</v>
      </c>
      <c r="W679" s="41">
        <f t="shared" si="665"/>
        <v>0</v>
      </c>
      <c r="X679" s="41">
        <f t="shared" si="666"/>
        <v>0</v>
      </c>
      <c r="Y679" s="41">
        <f t="shared" si="667"/>
        <v>0</v>
      </c>
      <c r="Z679" s="41">
        <f t="shared" si="668"/>
        <v>0</v>
      </c>
      <c r="AA679" s="41">
        <f t="shared" si="669"/>
        <v>0</v>
      </c>
      <c r="AB679" s="41">
        <f t="shared" si="670"/>
        <v>0</v>
      </c>
      <c r="AC679" s="41">
        <f t="shared" si="671"/>
        <v>0</v>
      </c>
      <c r="AD679" s="31"/>
      <c r="AE679" s="21">
        <f t="shared" si="672"/>
        <v>0</v>
      </c>
      <c r="AF679" s="21">
        <f t="shared" si="673"/>
        <v>0</v>
      </c>
      <c r="AG679" s="21">
        <f t="shared" si="674"/>
        <v>0</v>
      </c>
      <c r="AI679" s="41">
        <v>21</v>
      </c>
      <c r="AJ679" s="41">
        <f>H679*0.706167846309403</f>
        <v>0</v>
      </c>
      <c r="AK679" s="41">
        <f>H679*(1-0.706167846309403)</f>
        <v>0</v>
      </c>
      <c r="AL679" s="42" t="s">
        <v>13</v>
      </c>
      <c r="AQ679" s="41">
        <f t="shared" si="675"/>
        <v>0</v>
      </c>
      <c r="AR679" s="41">
        <f t="shared" si="676"/>
        <v>0</v>
      </c>
      <c r="AS679" s="41">
        <f t="shared" si="677"/>
        <v>0</v>
      </c>
      <c r="AT679" s="44" t="s">
        <v>2447</v>
      </c>
      <c r="AU679" s="44" t="s">
        <v>2483</v>
      </c>
      <c r="AV679" s="31" t="s">
        <v>2486</v>
      </c>
      <c r="AX679" s="41">
        <f t="shared" si="678"/>
        <v>0</v>
      </c>
      <c r="AY679" s="41">
        <f t="shared" si="679"/>
        <v>0</v>
      </c>
      <c r="AZ679" s="41">
        <v>0</v>
      </c>
      <c r="BA679" s="41">
        <f t="shared" si="680"/>
        <v>7.6380000000000007E-3</v>
      </c>
      <c r="BC679" s="21">
        <f t="shared" si="681"/>
        <v>0</v>
      </c>
      <c r="BD679" s="21">
        <f t="shared" si="682"/>
        <v>0</v>
      </c>
      <c r="BE679" s="21">
        <f t="shared" si="683"/>
        <v>0</v>
      </c>
      <c r="BF679" s="21" t="s">
        <v>2492</v>
      </c>
      <c r="BG679" s="41">
        <v>776</v>
      </c>
    </row>
    <row r="680" spans="1:59" x14ac:dyDescent="0.3">
      <c r="A680" s="6" t="s">
        <v>666</v>
      </c>
      <c r="B680" s="15"/>
      <c r="C680" s="15" t="s">
        <v>1277</v>
      </c>
      <c r="D680" s="107" t="s">
        <v>2067</v>
      </c>
      <c r="E680" s="108"/>
      <c r="F680" s="15" t="s">
        <v>2387</v>
      </c>
      <c r="G680" s="22">
        <v>988.44839999999999</v>
      </c>
      <c r="H680" s="21">
        <v>0</v>
      </c>
      <c r="I680" s="22">
        <f t="shared" si="660"/>
        <v>0</v>
      </c>
      <c r="J680" s="22">
        <f t="shared" si="661"/>
        <v>0</v>
      </c>
      <c r="K680" s="22">
        <f t="shared" si="662"/>
        <v>0</v>
      </c>
      <c r="L680" s="22">
        <v>3.0000000000000001E-3</v>
      </c>
      <c r="M680" s="22">
        <f t="shared" si="663"/>
        <v>2.9653452000000002</v>
      </c>
      <c r="N680" s="37" t="s">
        <v>2417</v>
      </c>
      <c r="O680" s="39"/>
      <c r="U680" s="41">
        <f t="shared" si="664"/>
        <v>0</v>
      </c>
      <c r="W680" s="41">
        <f t="shared" si="665"/>
        <v>0</v>
      </c>
      <c r="X680" s="41">
        <f t="shared" si="666"/>
        <v>0</v>
      </c>
      <c r="Y680" s="41">
        <f t="shared" si="667"/>
        <v>0</v>
      </c>
      <c r="Z680" s="41">
        <f t="shared" si="668"/>
        <v>0</v>
      </c>
      <c r="AA680" s="41">
        <f t="shared" si="669"/>
        <v>0</v>
      </c>
      <c r="AB680" s="41">
        <f t="shared" si="670"/>
        <v>0</v>
      </c>
      <c r="AC680" s="41">
        <f t="shared" si="671"/>
        <v>0</v>
      </c>
      <c r="AD680" s="31"/>
      <c r="AE680" s="22">
        <f t="shared" si="672"/>
        <v>0</v>
      </c>
      <c r="AF680" s="22">
        <f t="shared" si="673"/>
        <v>0</v>
      </c>
      <c r="AG680" s="22">
        <f t="shared" si="674"/>
        <v>0</v>
      </c>
      <c r="AI680" s="41">
        <v>21</v>
      </c>
      <c r="AJ680" s="41">
        <f>H680*1</f>
        <v>0</v>
      </c>
      <c r="AK680" s="41">
        <f>H680*(1-1)</f>
        <v>0</v>
      </c>
      <c r="AL680" s="43" t="s">
        <v>13</v>
      </c>
      <c r="AQ680" s="41">
        <f t="shared" si="675"/>
        <v>0</v>
      </c>
      <c r="AR680" s="41">
        <f t="shared" si="676"/>
        <v>0</v>
      </c>
      <c r="AS680" s="41">
        <f t="shared" si="677"/>
        <v>0</v>
      </c>
      <c r="AT680" s="44" t="s">
        <v>2447</v>
      </c>
      <c r="AU680" s="44" t="s">
        <v>2483</v>
      </c>
      <c r="AV680" s="31" t="s">
        <v>2486</v>
      </c>
      <c r="AX680" s="41">
        <f t="shared" si="678"/>
        <v>0</v>
      </c>
      <c r="AY680" s="41">
        <f t="shared" si="679"/>
        <v>0</v>
      </c>
      <c r="AZ680" s="41">
        <v>0</v>
      </c>
      <c r="BA680" s="41">
        <f t="shared" si="680"/>
        <v>2.9653452000000002</v>
      </c>
      <c r="BC680" s="22">
        <f t="shared" si="681"/>
        <v>0</v>
      </c>
      <c r="BD680" s="22">
        <f t="shared" si="682"/>
        <v>0</v>
      </c>
      <c r="BE680" s="22">
        <f t="shared" si="683"/>
        <v>0</v>
      </c>
      <c r="BF680" s="22" t="s">
        <v>1341</v>
      </c>
      <c r="BG680" s="41">
        <v>776</v>
      </c>
    </row>
    <row r="681" spans="1:59" x14ac:dyDescent="0.3">
      <c r="A681" s="4" t="s">
        <v>667</v>
      </c>
      <c r="B681" s="13"/>
      <c r="C681" s="13" t="s">
        <v>1278</v>
      </c>
      <c r="D681" s="101" t="s">
        <v>2068</v>
      </c>
      <c r="E681" s="102"/>
      <c r="F681" s="13" t="s">
        <v>2385</v>
      </c>
      <c r="G681" s="21">
        <v>102.6</v>
      </c>
      <c r="H681" s="21">
        <v>0</v>
      </c>
      <c r="I681" s="21">
        <f t="shared" si="660"/>
        <v>0</v>
      </c>
      <c r="J681" s="21">
        <f t="shared" si="661"/>
        <v>0</v>
      </c>
      <c r="K681" s="21">
        <f t="shared" si="662"/>
        <v>0</v>
      </c>
      <c r="L681" s="21">
        <v>1E-4</v>
      </c>
      <c r="M681" s="21">
        <f t="shared" si="663"/>
        <v>1.026E-2</v>
      </c>
      <c r="N681" s="35" t="s">
        <v>2417</v>
      </c>
      <c r="O681" s="39"/>
      <c r="U681" s="41">
        <f t="shared" si="664"/>
        <v>0</v>
      </c>
      <c r="W681" s="41">
        <f t="shared" si="665"/>
        <v>0</v>
      </c>
      <c r="X681" s="41">
        <f t="shared" si="666"/>
        <v>0</v>
      </c>
      <c r="Y681" s="41">
        <f t="shared" si="667"/>
        <v>0</v>
      </c>
      <c r="Z681" s="41">
        <f t="shared" si="668"/>
        <v>0</v>
      </c>
      <c r="AA681" s="41">
        <f t="shared" si="669"/>
        <v>0</v>
      </c>
      <c r="AB681" s="41">
        <f t="shared" si="670"/>
        <v>0</v>
      </c>
      <c r="AC681" s="41">
        <f t="shared" si="671"/>
        <v>0</v>
      </c>
      <c r="AD681" s="31"/>
      <c r="AE681" s="21">
        <f t="shared" si="672"/>
        <v>0</v>
      </c>
      <c r="AF681" s="21">
        <f t="shared" si="673"/>
        <v>0</v>
      </c>
      <c r="AG681" s="21">
        <f t="shared" si="674"/>
        <v>0</v>
      </c>
      <c r="AI681" s="41">
        <v>21</v>
      </c>
      <c r="AJ681" s="41">
        <f>H681*0.87601942238915</f>
        <v>0</v>
      </c>
      <c r="AK681" s="41">
        <f>H681*(1-0.87601942238915)</f>
        <v>0</v>
      </c>
      <c r="AL681" s="42" t="s">
        <v>13</v>
      </c>
      <c r="AQ681" s="41">
        <f t="shared" si="675"/>
        <v>0</v>
      </c>
      <c r="AR681" s="41">
        <f t="shared" si="676"/>
        <v>0</v>
      </c>
      <c r="AS681" s="41">
        <f t="shared" si="677"/>
        <v>0</v>
      </c>
      <c r="AT681" s="44" t="s">
        <v>2447</v>
      </c>
      <c r="AU681" s="44" t="s">
        <v>2483</v>
      </c>
      <c r="AV681" s="31" t="s">
        <v>2486</v>
      </c>
      <c r="AX681" s="41">
        <f t="shared" si="678"/>
        <v>0</v>
      </c>
      <c r="AY681" s="41">
        <f t="shared" si="679"/>
        <v>0</v>
      </c>
      <c r="AZ681" s="41">
        <v>0</v>
      </c>
      <c r="BA681" s="41">
        <f t="shared" si="680"/>
        <v>1.026E-2</v>
      </c>
      <c r="BC681" s="21">
        <f t="shared" si="681"/>
        <v>0</v>
      </c>
      <c r="BD681" s="21">
        <f t="shared" si="682"/>
        <v>0</v>
      </c>
      <c r="BE681" s="21">
        <f t="shared" si="683"/>
        <v>0</v>
      </c>
      <c r="BF681" s="21" t="s">
        <v>2492</v>
      </c>
      <c r="BG681" s="41">
        <v>776</v>
      </c>
    </row>
    <row r="682" spans="1:59" x14ac:dyDescent="0.3">
      <c r="A682" s="4" t="s">
        <v>668</v>
      </c>
      <c r="B682" s="13"/>
      <c r="C682" s="13" t="s">
        <v>1279</v>
      </c>
      <c r="D682" s="101" t="s">
        <v>2069</v>
      </c>
      <c r="E682" s="102"/>
      <c r="F682" s="13" t="s">
        <v>2385</v>
      </c>
      <c r="G682" s="21">
        <v>40.799999999999997</v>
      </c>
      <c r="H682" s="21">
        <v>0</v>
      </c>
      <c r="I682" s="21">
        <f t="shared" si="660"/>
        <v>0</v>
      </c>
      <c r="J682" s="21">
        <f t="shared" si="661"/>
        <v>0</v>
      </c>
      <c r="K682" s="21">
        <f t="shared" si="662"/>
        <v>0</v>
      </c>
      <c r="L682" s="21">
        <v>1.3999999999999999E-4</v>
      </c>
      <c r="M682" s="21">
        <f t="shared" si="663"/>
        <v>5.7119999999999992E-3</v>
      </c>
      <c r="N682" s="35" t="s">
        <v>2417</v>
      </c>
      <c r="O682" s="39"/>
      <c r="U682" s="41">
        <f t="shared" si="664"/>
        <v>0</v>
      </c>
      <c r="W682" s="41">
        <f t="shared" si="665"/>
        <v>0</v>
      </c>
      <c r="X682" s="41">
        <f t="shared" si="666"/>
        <v>0</v>
      </c>
      <c r="Y682" s="41">
        <f t="shared" si="667"/>
        <v>0</v>
      </c>
      <c r="Z682" s="41">
        <f t="shared" si="668"/>
        <v>0</v>
      </c>
      <c r="AA682" s="41">
        <f t="shared" si="669"/>
        <v>0</v>
      </c>
      <c r="AB682" s="41">
        <f t="shared" si="670"/>
        <v>0</v>
      </c>
      <c r="AC682" s="41">
        <f t="shared" si="671"/>
        <v>0</v>
      </c>
      <c r="AD682" s="31"/>
      <c r="AE682" s="21">
        <f t="shared" si="672"/>
        <v>0</v>
      </c>
      <c r="AF682" s="21">
        <f t="shared" si="673"/>
        <v>0</v>
      </c>
      <c r="AG682" s="21">
        <f t="shared" si="674"/>
        <v>0</v>
      </c>
      <c r="AI682" s="41">
        <v>21</v>
      </c>
      <c r="AJ682" s="41">
        <f>H682*0.481996434937611</f>
        <v>0</v>
      </c>
      <c r="AK682" s="41">
        <f>H682*(1-0.481996434937611)</f>
        <v>0</v>
      </c>
      <c r="AL682" s="42" t="s">
        <v>13</v>
      </c>
      <c r="AQ682" s="41">
        <f t="shared" si="675"/>
        <v>0</v>
      </c>
      <c r="AR682" s="41">
        <f t="shared" si="676"/>
        <v>0</v>
      </c>
      <c r="AS682" s="41">
        <f t="shared" si="677"/>
        <v>0</v>
      </c>
      <c r="AT682" s="44" t="s">
        <v>2447</v>
      </c>
      <c r="AU682" s="44" t="s">
        <v>2483</v>
      </c>
      <c r="AV682" s="31" t="s">
        <v>2486</v>
      </c>
      <c r="AX682" s="41">
        <f t="shared" si="678"/>
        <v>0</v>
      </c>
      <c r="AY682" s="41">
        <f t="shared" si="679"/>
        <v>0</v>
      </c>
      <c r="AZ682" s="41">
        <v>0</v>
      </c>
      <c r="BA682" s="41">
        <f t="shared" si="680"/>
        <v>5.7119999999999992E-3</v>
      </c>
      <c r="BC682" s="21">
        <f t="shared" si="681"/>
        <v>0</v>
      </c>
      <c r="BD682" s="21">
        <f t="shared" si="682"/>
        <v>0</v>
      </c>
      <c r="BE682" s="21">
        <f t="shared" si="683"/>
        <v>0</v>
      </c>
      <c r="BF682" s="21" t="s">
        <v>2492</v>
      </c>
      <c r="BG682" s="41">
        <v>776</v>
      </c>
    </row>
    <row r="683" spans="1:59" x14ac:dyDescent="0.3">
      <c r="A683" s="5"/>
      <c r="B683" s="14"/>
      <c r="C683" s="14" t="s">
        <v>783</v>
      </c>
      <c r="D683" s="103" t="s">
        <v>2070</v>
      </c>
      <c r="E683" s="104"/>
      <c r="F683" s="19" t="s">
        <v>6</v>
      </c>
      <c r="G683" s="19" t="s">
        <v>6</v>
      </c>
      <c r="H683" s="19" t="s">
        <v>6</v>
      </c>
      <c r="I683" s="47">
        <f>SUM(I684:I692)</f>
        <v>0</v>
      </c>
      <c r="J683" s="47">
        <f>SUM(J684:J692)</f>
        <v>0</v>
      </c>
      <c r="K683" s="47">
        <f>SUM(K684:K692)</f>
        <v>0</v>
      </c>
      <c r="L683" s="31"/>
      <c r="M683" s="47">
        <f>SUM(M684:M692)</f>
        <v>11.676880194999999</v>
      </c>
      <c r="N683" s="36"/>
      <c r="O683" s="39"/>
      <c r="AD683" s="31"/>
      <c r="AN683" s="47">
        <f>SUM(AE684:AE692)</f>
        <v>0</v>
      </c>
      <c r="AO683" s="47">
        <f>SUM(AF684:AF692)</f>
        <v>0</v>
      </c>
      <c r="AP683" s="47">
        <f>SUM(AG684:AG692)</f>
        <v>0</v>
      </c>
    </row>
    <row r="684" spans="1:59" x14ac:dyDescent="0.3">
      <c r="A684" s="4" t="s">
        <v>669</v>
      </c>
      <c r="B684" s="13"/>
      <c r="C684" s="13" t="s">
        <v>1280</v>
      </c>
      <c r="D684" s="101" t="s">
        <v>2071</v>
      </c>
      <c r="E684" s="102"/>
      <c r="F684" s="13" t="s">
        <v>2387</v>
      </c>
      <c r="G684" s="21">
        <v>514.31050000000005</v>
      </c>
      <c r="H684" s="21">
        <v>0</v>
      </c>
      <c r="I684" s="21">
        <f t="shared" ref="I684:I692" si="684">G684*AJ684</f>
        <v>0</v>
      </c>
      <c r="J684" s="21">
        <f t="shared" ref="J684:J692" si="685">G684*AK684</f>
        <v>0</v>
      </c>
      <c r="K684" s="21">
        <f t="shared" ref="K684:K692" si="686">G684*H684</f>
        <v>0</v>
      </c>
      <c r="L684" s="21">
        <v>0</v>
      </c>
      <c r="M684" s="21">
        <f t="shared" ref="M684:M692" si="687">G684*L684</f>
        <v>0</v>
      </c>
      <c r="N684" s="35" t="s">
        <v>2417</v>
      </c>
      <c r="O684" s="39"/>
      <c r="U684" s="41">
        <f t="shared" ref="U684:U692" si="688">IF(AL684="5",BE684,0)</f>
        <v>0</v>
      </c>
      <c r="W684" s="41">
        <f t="shared" ref="W684:W692" si="689">IF(AL684="1",BC684,0)</f>
        <v>0</v>
      </c>
      <c r="X684" s="41">
        <f t="shared" ref="X684:X692" si="690">IF(AL684="1",BD684,0)</f>
        <v>0</v>
      </c>
      <c r="Y684" s="41">
        <f t="shared" ref="Y684:Y692" si="691">IF(AL684="7",BC684,0)</f>
        <v>0</v>
      </c>
      <c r="Z684" s="41">
        <f t="shared" ref="Z684:Z692" si="692">IF(AL684="7",BD684,0)</f>
        <v>0</v>
      </c>
      <c r="AA684" s="41">
        <f t="shared" ref="AA684:AA692" si="693">IF(AL684="2",BC684,0)</f>
        <v>0</v>
      </c>
      <c r="AB684" s="41">
        <f t="shared" ref="AB684:AB692" si="694">IF(AL684="2",BD684,0)</f>
        <v>0</v>
      </c>
      <c r="AC684" s="41">
        <f t="shared" ref="AC684:AC692" si="695">IF(AL684="0",BE684,0)</f>
        <v>0</v>
      </c>
      <c r="AD684" s="31"/>
      <c r="AE684" s="21">
        <f t="shared" ref="AE684:AE692" si="696">IF(AI684=0,K684,0)</f>
        <v>0</v>
      </c>
      <c r="AF684" s="21">
        <f t="shared" ref="AF684:AF692" si="697">IF(AI684=15,K684,0)</f>
        <v>0</v>
      </c>
      <c r="AG684" s="21">
        <f t="shared" ref="AG684:AG692" si="698">IF(AI684=21,K684,0)</f>
        <v>0</v>
      </c>
      <c r="AI684" s="41">
        <v>21</v>
      </c>
      <c r="AJ684" s="41">
        <f>H684*0</f>
        <v>0</v>
      </c>
      <c r="AK684" s="41">
        <f>H684*(1-0)</f>
        <v>0</v>
      </c>
      <c r="AL684" s="42" t="s">
        <v>13</v>
      </c>
      <c r="AQ684" s="41">
        <f t="shared" ref="AQ684:AQ692" si="699">AR684+AS684</f>
        <v>0</v>
      </c>
      <c r="AR684" s="41">
        <f t="shared" ref="AR684:AR692" si="700">G684*AJ684</f>
        <v>0</v>
      </c>
      <c r="AS684" s="41">
        <f t="shared" ref="AS684:AS692" si="701">G684*AK684</f>
        <v>0</v>
      </c>
      <c r="AT684" s="44" t="s">
        <v>2448</v>
      </c>
      <c r="AU684" s="44" t="s">
        <v>2484</v>
      </c>
      <c r="AV684" s="31" t="s">
        <v>2486</v>
      </c>
      <c r="AX684" s="41">
        <f t="shared" ref="AX684:AX692" si="702">AR684+AS684</f>
        <v>0</v>
      </c>
      <c r="AY684" s="41">
        <f t="shared" ref="AY684:AY692" si="703">H684/(100-AZ684)*100</f>
        <v>0</v>
      </c>
      <c r="AZ684" s="41">
        <v>0</v>
      </c>
      <c r="BA684" s="41">
        <f t="shared" ref="BA684:BA692" si="704">M684</f>
        <v>0</v>
      </c>
      <c r="BC684" s="21">
        <f t="shared" ref="BC684:BC692" si="705">G684*AJ684</f>
        <v>0</v>
      </c>
      <c r="BD684" s="21">
        <f t="shared" ref="BD684:BD692" si="706">G684*AK684</f>
        <v>0</v>
      </c>
      <c r="BE684" s="21">
        <f t="shared" ref="BE684:BE692" si="707">G684*H684</f>
        <v>0</v>
      </c>
      <c r="BF684" s="21" t="s">
        <v>2492</v>
      </c>
      <c r="BG684" s="41">
        <v>781</v>
      </c>
    </row>
    <row r="685" spans="1:59" x14ac:dyDescent="0.3">
      <c r="A685" s="6" t="s">
        <v>670</v>
      </c>
      <c r="B685" s="15"/>
      <c r="C685" s="15" t="s">
        <v>1281</v>
      </c>
      <c r="D685" s="107" t="s">
        <v>2072</v>
      </c>
      <c r="E685" s="108"/>
      <c r="F685" s="15" t="s">
        <v>2387</v>
      </c>
      <c r="G685" s="22">
        <v>461.35700000000003</v>
      </c>
      <c r="H685" s="21">
        <v>0</v>
      </c>
      <c r="I685" s="22">
        <f t="shared" si="684"/>
        <v>0</v>
      </c>
      <c r="J685" s="22">
        <f t="shared" si="685"/>
        <v>0</v>
      </c>
      <c r="K685" s="22">
        <f t="shared" si="686"/>
        <v>0</v>
      </c>
      <c r="L685" s="22">
        <v>1.9429999999999999E-2</v>
      </c>
      <c r="M685" s="22">
        <f t="shared" si="687"/>
        <v>8.9641665100000001</v>
      </c>
      <c r="N685" s="37" t="s">
        <v>2417</v>
      </c>
      <c r="O685" s="39"/>
      <c r="U685" s="41">
        <f t="shared" si="688"/>
        <v>0</v>
      </c>
      <c r="W685" s="41">
        <f t="shared" si="689"/>
        <v>0</v>
      </c>
      <c r="X685" s="41">
        <f t="shared" si="690"/>
        <v>0</v>
      </c>
      <c r="Y685" s="41">
        <f t="shared" si="691"/>
        <v>0</v>
      </c>
      <c r="Z685" s="41">
        <f t="shared" si="692"/>
        <v>0</v>
      </c>
      <c r="AA685" s="41">
        <f t="shared" si="693"/>
        <v>0</v>
      </c>
      <c r="AB685" s="41">
        <f t="shared" si="694"/>
        <v>0</v>
      </c>
      <c r="AC685" s="41">
        <f t="shared" si="695"/>
        <v>0</v>
      </c>
      <c r="AD685" s="31"/>
      <c r="AE685" s="22">
        <f t="shared" si="696"/>
        <v>0</v>
      </c>
      <c r="AF685" s="22">
        <f t="shared" si="697"/>
        <v>0</v>
      </c>
      <c r="AG685" s="22">
        <f t="shared" si="698"/>
        <v>0</v>
      </c>
      <c r="AI685" s="41">
        <v>21</v>
      </c>
      <c r="AJ685" s="41">
        <f>H685*1</f>
        <v>0</v>
      </c>
      <c r="AK685" s="41">
        <f>H685*(1-1)</f>
        <v>0</v>
      </c>
      <c r="AL685" s="43" t="s">
        <v>13</v>
      </c>
      <c r="AQ685" s="41">
        <f t="shared" si="699"/>
        <v>0</v>
      </c>
      <c r="AR685" s="41">
        <f t="shared" si="700"/>
        <v>0</v>
      </c>
      <c r="AS685" s="41">
        <f t="shared" si="701"/>
        <v>0</v>
      </c>
      <c r="AT685" s="44" t="s">
        <v>2448</v>
      </c>
      <c r="AU685" s="44" t="s">
        <v>2484</v>
      </c>
      <c r="AV685" s="31" t="s">
        <v>2486</v>
      </c>
      <c r="AX685" s="41">
        <f t="shared" si="702"/>
        <v>0</v>
      </c>
      <c r="AY685" s="41">
        <f t="shared" si="703"/>
        <v>0</v>
      </c>
      <c r="AZ685" s="41">
        <v>0</v>
      </c>
      <c r="BA685" s="41">
        <f t="shared" si="704"/>
        <v>8.9641665100000001</v>
      </c>
      <c r="BC685" s="22">
        <f t="shared" si="705"/>
        <v>0</v>
      </c>
      <c r="BD685" s="22">
        <f t="shared" si="706"/>
        <v>0</v>
      </c>
      <c r="BE685" s="22">
        <f t="shared" si="707"/>
        <v>0</v>
      </c>
      <c r="BF685" s="22" t="s">
        <v>1341</v>
      </c>
      <c r="BG685" s="41">
        <v>781</v>
      </c>
    </row>
    <row r="686" spans="1:59" x14ac:dyDescent="0.3">
      <c r="A686" s="6" t="s">
        <v>671</v>
      </c>
      <c r="B686" s="15"/>
      <c r="C686" s="15" t="s">
        <v>1282</v>
      </c>
      <c r="D686" s="107" t="s">
        <v>2073</v>
      </c>
      <c r="E686" s="108"/>
      <c r="F686" s="15" t="s">
        <v>2387</v>
      </c>
      <c r="G686" s="22">
        <v>138.37950000000001</v>
      </c>
      <c r="H686" s="21">
        <v>0</v>
      </c>
      <c r="I686" s="22">
        <f t="shared" si="684"/>
        <v>0</v>
      </c>
      <c r="J686" s="22">
        <f t="shared" si="685"/>
        <v>0</v>
      </c>
      <c r="K686" s="22">
        <f t="shared" si="686"/>
        <v>0</v>
      </c>
      <c r="L686" s="22">
        <v>1.9429999999999999E-2</v>
      </c>
      <c r="M686" s="22">
        <f t="shared" si="687"/>
        <v>2.6887136850000002</v>
      </c>
      <c r="N686" s="37" t="s">
        <v>2417</v>
      </c>
      <c r="O686" s="39"/>
      <c r="U686" s="41">
        <f t="shared" si="688"/>
        <v>0</v>
      </c>
      <c r="W686" s="41">
        <f t="shared" si="689"/>
        <v>0</v>
      </c>
      <c r="X686" s="41">
        <f t="shared" si="690"/>
        <v>0</v>
      </c>
      <c r="Y686" s="41">
        <f t="shared" si="691"/>
        <v>0</v>
      </c>
      <c r="Z686" s="41">
        <f t="shared" si="692"/>
        <v>0</v>
      </c>
      <c r="AA686" s="41">
        <f t="shared" si="693"/>
        <v>0</v>
      </c>
      <c r="AB686" s="41">
        <f t="shared" si="694"/>
        <v>0</v>
      </c>
      <c r="AC686" s="41">
        <f t="shared" si="695"/>
        <v>0</v>
      </c>
      <c r="AD686" s="31"/>
      <c r="AE686" s="22">
        <f t="shared" si="696"/>
        <v>0</v>
      </c>
      <c r="AF686" s="22">
        <f t="shared" si="697"/>
        <v>0</v>
      </c>
      <c r="AG686" s="22">
        <f t="shared" si="698"/>
        <v>0</v>
      </c>
      <c r="AI686" s="41">
        <v>21</v>
      </c>
      <c r="AJ686" s="41">
        <f>H686*1</f>
        <v>0</v>
      </c>
      <c r="AK686" s="41">
        <f>H686*(1-1)</f>
        <v>0</v>
      </c>
      <c r="AL686" s="43" t="s">
        <v>13</v>
      </c>
      <c r="AQ686" s="41">
        <f t="shared" si="699"/>
        <v>0</v>
      </c>
      <c r="AR686" s="41">
        <f t="shared" si="700"/>
        <v>0</v>
      </c>
      <c r="AS686" s="41">
        <f t="shared" si="701"/>
        <v>0</v>
      </c>
      <c r="AT686" s="44" t="s">
        <v>2448</v>
      </c>
      <c r="AU686" s="44" t="s">
        <v>2484</v>
      </c>
      <c r="AV686" s="31" t="s">
        <v>2486</v>
      </c>
      <c r="AX686" s="41">
        <f t="shared" si="702"/>
        <v>0</v>
      </c>
      <c r="AY686" s="41">
        <f t="shared" si="703"/>
        <v>0</v>
      </c>
      <c r="AZ686" s="41">
        <v>0</v>
      </c>
      <c r="BA686" s="41">
        <f t="shared" si="704"/>
        <v>2.6887136850000002</v>
      </c>
      <c r="BC686" s="22">
        <f t="shared" si="705"/>
        <v>0</v>
      </c>
      <c r="BD686" s="22">
        <f t="shared" si="706"/>
        <v>0</v>
      </c>
      <c r="BE686" s="22">
        <f t="shared" si="707"/>
        <v>0</v>
      </c>
      <c r="BF686" s="22" t="s">
        <v>1341</v>
      </c>
      <c r="BG686" s="41">
        <v>781</v>
      </c>
    </row>
    <row r="687" spans="1:59" x14ac:dyDescent="0.3">
      <c r="A687" s="4" t="s">
        <v>672</v>
      </c>
      <c r="B687" s="13"/>
      <c r="C687" s="13" t="s">
        <v>1283</v>
      </c>
      <c r="D687" s="101" t="s">
        <v>2074</v>
      </c>
      <c r="E687" s="102"/>
      <c r="F687" s="13" t="s">
        <v>2385</v>
      </c>
      <c r="G687" s="21">
        <v>492</v>
      </c>
      <c r="H687" s="21">
        <v>0</v>
      </c>
      <c r="I687" s="21">
        <f t="shared" si="684"/>
        <v>0</v>
      </c>
      <c r="J687" s="21">
        <f t="shared" si="685"/>
        <v>0</v>
      </c>
      <c r="K687" s="21">
        <f t="shared" si="686"/>
        <v>0</v>
      </c>
      <c r="L687" s="21">
        <v>0</v>
      </c>
      <c r="M687" s="21">
        <f t="shared" si="687"/>
        <v>0</v>
      </c>
      <c r="N687" s="35" t="s">
        <v>2417</v>
      </c>
      <c r="O687" s="39"/>
      <c r="U687" s="41">
        <f t="shared" si="688"/>
        <v>0</v>
      </c>
      <c r="W687" s="41">
        <f t="shared" si="689"/>
        <v>0</v>
      </c>
      <c r="X687" s="41">
        <f t="shared" si="690"/>
        <v>0</v>
      </c>
      <c r="Y687" s="41">
        <f t="shared" si="691"/>
        <v>0</v>
      </c>
      <c r="Z687" s="41">
        <f t="shared" si="692"/>
        <v>0</v>
      </c>
      <c r="AA687" s="41">
        <f t="shared" si="693"/>
        <v>0</v>
      </c>
      <c r="AB687" s="41">
        <f t="shared" si="694"/>
        <v>0</v>
      </c>
      <c r="AC687" s="41">
        <f t="shared" si="695"/>
        <v>0</v>
      </c>
      <c r="AD687" s="31"/>
      <c r="AE687" s="21">
        <f t="shared" si="696"/>
        <v>0</v>
      </c>
      <c r="AF687" s="21">
        <f t="shared" si="697"/>
        <v>0</v>
      </c>
      <c r="AG687" s="21">
        <f t="shared" si="698"/>
        <v>0</v>
      </c>
      <c r="AI687" s="41">
        <v>21</v>
      </c>
      <c r="AJ687" s="41">
        <f>H687*0.0560496380558428</f>
        <v>0</v>
      </c>
      <c r="AK687" s="41">
        <f>H687*(1-0.0560496380558428)</f>
        <v>0</v>
      </c>
      <c r="AL687" s="42" t="s">
        <v>13</v>
      </c>
      <c r="AQ687" s="41">
        <f t="shared" si="699"/>
        <v>0</v>
      </c>
      <c r="AR687" s="41">
        <f t="shared" si="700"/>
        <v>0</v>
      </c>
      <c r="AS687" s="41">
        <f t="shared" si="701"/>
        <v>0</v>
      </c>
      <c r="AT687" s="44" t="s">
        <v>2448</v>
      </c>
      <c r="AU687" s="44" t="s">
        <v>2484</v>
      </c>
      <c r="AV687" s="31" t="s">
        <v>2486</v>
      </c>
      <c r="AX687" s="41">
        <f t="shared" si="702"/>
        <v>0</v>
      </c>
      <c r="AY687" s="41">
        <f t="shared" si="703"/>
        <v>0</v>
      </c>
      <c r="AZ687" s="41">
        <v>0</v>
      </c>
      <c r="BA687" s="41">
        <f t="shared" si="704"/>
        <v>0</v>
      </c>
      <c r="BC687" s="21">
        <f t="shared" si="705"/>
        <v>0</v>
      </c>
      <c r="BD687" s="21">
        <f t="shared" si="706"/>
        <v>0</v>
      </c>
      <c r="BE687" s="21">
        <f t="shared" si="707"/>
        <v>0</v>
      </c>
      <c r="BF687" s="21" t="s">
        <v>2492</v>
      </c>
      <c r="BG687" s="41">
        <v>781</v>
      </c>
    </row>
    <row r="688" spans="1:59" x14ac:dyDescent="0.3">
      <c r="A688" s="4" t="s">
        <v>673</v>
      </c>
      <c r="B688" s="13"/>
      <c r="C688" s="13" t="s">
        <v>1284</v>
      </c>
      <c r="D688" s="101" t="s">
        <v>2075</v>
      </c>
      <c r="E688" s="102"/>
      <c r="F688" s="13" t="s">
        <v>2391</v>
      </c>
      <c r="G688" s="21">
        <v>35</v>
      </c>
      <c r="H688" s="21">
        <v>0</v>
      </c>
      <c r="I688" s="21">
        <f t="shared" si="684"/>
        <v>0</v>
      </c>
      <c r="J688" s="21">
        <f t="shared" si="685"/>
        <v>0</v>
      </c>
      <c r="K688" s="21">
        <f t="shared" si="686"/>
        <v>0</v>
      </c>
      <c r="L688" s="21">
        <v>0</v>
      </c>
      <c r="M688" s="21">
        <f t="shared" si="687"/>
        <v>0</v>
      </c>
      <c r="N688" s="35" t="s">
        <v>2417</v>
      </c>
      <c r="O688" s="39"/>
      <c r="U688" s="41">
        <f t="shared" si="688"/>
        <v>0</v>
      </c>
      <c r="W688" s="41">
        <f t="shared" si="689"/>
        <v>0</v>
      </c>
      <c r="X688" s="41">
        <f t="shared" si="690"/>
        <v>0</v>
      </c>
      <c r="Y688" s="41">
        <f t="shared" si="691"/>
        <v>0</v>
      </c>
      <c r="Z688" s="41">
        <f t="shared" si="692"/>
        <v>0</v>
      </c>
      <c r="AA688" s="41">
        <f t="shared" si="693"/>
        <v>0</v>
      </c>
      <c r="AB688" s="41">
        <f t="shared" si="694"/>
        <v>0</v>
      </c>
      <c r="AC688" s="41">
        <f t="shared" si="695"/>
        <v>0</v>
      </c>
      <c r="AD688" s="31"/>
      <c r="AE688" s="21">
        <f t="shared" si="696"/>
        <v>0</v>
      </c>
      <c r="AF688" s="21">
        <f t="shared" si="697"/>
        <v>0</v>
      </c>
      <c r="AG688" s="21">
        <f t="shared" si="698"/>
        <v>0</v>
      </c>
      <c r="AI688" s="41">
        <v>21</v>
      </c>
      <c r="AJ688" s="41">
        <f>H688*0.0627257799671593</f>
        <v>0</v>
      </c>
      <c r="AK688" s="41">
        <f>H688*(1-0.0627257799671593)</f>
        <v>0</v>
      </c>
      <c r="AL688" s="42" t="s">
        <v>13</v>
      </c>
      <c r="AQ688" s="41">
        <f t="shared" si="699"/>
        <v>0</v>
      </c>
      <c r="AR688" s="41">
        <f t="shared" si="700"/>
        <v>0</v>
      </c>
      <c r="AS688" s="41">
        <f t="shared" si="701"/>
        <v>0</v>
      </c>
      <c r="AT688" s="44" t="s">
        <v>2448</v>
      </c>
      <c r="AU688" s="44" t="s">
        <v>2484</v>
      </c>
      <c r="AV688" s="31" t="s">
        <v>2486</v>
      </c>
      <c r="AX688" s="41">
        <f t="shared" si="702"/>
        <v>0</v>
      </c>
      <c r="AY688" s="41">
        <f t="shared" si="703"/>
        <v>0</v>
      </c>
      <c r="AZ688" s="41">
        <v>0</v>
      </c>
      <c r="BA688" s="41">
        <f t="shared" si="704"/>
        <v>0</v>
      </c>
      <c r="BC688" s="21">
        <f t="shared" si="705"/>
        <v>0</v>
      </c>
      <c r="BD688" s="21">
        <f t="shared" si="706"/>
        <v>0</v>
      </c>
      <c r="BE688" s="21">
        <f t="shared" si="707"/>
        <v>0</v>
      </c>
      <c r="BF688" s="21" t="s">
        <v>2492</v>
      </c>
      <c r="BG688" s="41">
        <v>781</v>
      </c>
    </row>
    <row r="689" spans="1:59" x14ac:dyDescent="0.3">
      <c r="A689" s="4" t="s">
        <v>674</v>
      </c>
      <c r="B689" s="13"/>
      <c r="C689" s="13" t="s">
        <v>1285</v>
      </c>
      <c r="D689" s="101" t="s">
        <v>2076</v>
      </c>
      <c r="E689" s="102"/>
      <c r="F689" s="13" t="s">
        <v>2391</v>
      </c>
      <c r="G689" s="21">
        <v>25</v>
      </c>
      <c r="H689" s="21">
        <v>0</v>
      </c>
      <c r="I689" s="21">
        <f t="shared" si="684"/>
        <v>0</v>
      </c>
      <c r="J689" s="21">
        <f t="shared" si="685"/>
        <v>0</v>
      </c>
      <c r="K689" s="21">
        <f t="shared" si="686"/>
        <v>0</v>
      </c>
      <c r="L689" s="21">
        <v>0</v>
      </c>
      <c r="M689" s="21">
        <f t="shared" si="687"/>
        <v>0</v>
      </c>
      <c r="N689" s="35" t="s">
        <v>2417</v>
      </c>
      <c r="O689" s="39"/>
      <c r="U689" s="41">
        <f t="shared" si="688"/>
        <v>0</v>
      </c>
      <c r="W689" s="41">
        <f t="shared" si="689"/>
        <v>0</v>
      </c>
      <c r="X689" s="41">
        <f t="shared" si="690"/>
        <v>0</v>
      </c>
      <c r="Y689" s="41">
        <f t="shared" si="691"/>
        <v>0</v>
      </c>
      <c r="Z689" s="41">
        <f t="shared" si="692"/>
        <v>0</v>
      </c>
      <c r="AA689" s="41">
        <f t="shared" si="693"/>
        <v>0</v>
      </c>
      <c r="AB689" s="41">
        <f t="shared" si="694"/>
        <v>0</v>
      </c>
      <c r="AC689" s="41">
        <f t="shared" si="695"/>
        <v>0</v>
      </c>
      <c r="AD689" s="31"/>
      <c r="AE689" s="21">
        <f t="shared" si="696"/>
        <v>0</v>
      </c>
      <c r="AF689" s="21">
        <f t="shared" si="697"/>
        <v>0</v>
      </c>
      <c r="AG689" s="21">
        <f t="shared" si="698"/>
        <v>0</v>
      </c>
      <c r="AI689" s="41">
        <v>21</v>
      </c>
      <c r="AJ689" s="41">
        <f>H689*0.0190926275992439</f>
        <v>0</v>
      </c>
      <c r="AK689" s="41">
        <f>H689*(1-0.0190926275992439)</f>
        <v>0</v>
      </c>
      <c r="AL689" s="42" t="s">
        <v>13</v>
      </c>
      <c r="AQ689" s="41">
        <f t="shared" si="699"/>
        <v>0</v>
      </c>
      <c r="AR689" s="41">
        <f t="shared" si="700"/>
        <v>0</v>
      </c>
      <c r="AS689" s="41">
        <f t="shared" si="701"/>
        <v>0</v>
      </c>
      <c r="AT689" s="44" t="s">
        <v>2448</v>
      </c>
      <c r="AU689" s="44" t="s">
        <v>2484</v>
      </c>
      <c r="AV689" s="31" t="s">
        <v>2486</v>
      </c>
      <c r="AX689" s="41">
        <f t="shared" si="702"/>
        <v>0</v>
      </c>
      <c r="AY689" s="41">
        <f t="shared" si="703"/>
        <v>0</v>
      </c>
      <c r="AZ689" s="41">
        <v>0</v>
      </c>
      <c r="BA689" s="41">
        <f t="shared" si="704"/>
        <v>0</v>
      </c>
      <c r="BC689" s="21">
        <f t="shared" si="705"/>
        <v>0</v>
      </c>
      <c r="BD689" s="21">
        <f t="shared" si="706"/>
        <v>0</v>
      </c>
      <c r="BE689" s="21">
        <f t="shared" si="707"/>
        <v>0</v>
      </c>
      <c r="BF689" s="21" t="s">
        <v>2492</v>
      </c>
      <c r="BG689" s="41">
        <v>781</v>
      </c>
    </row>
    <row r="690" spans="1:59" x14ac:dyDescent="0.3">
      <c r="A690" s="4" t="s">
        <v>675</v>
      </c>
      <c r="B690" s="13"/>
      <c r="C690" s="13" t="s">
        <v>1286</v>
      </c>
      <c r="D690" s="101" t="s">
        <v>2077</v>
      </c>
      <c r="E690" s="102"/>
      <c r="F690" s="13" t="s">
        <v>2385</v>
      </c>
      <c r="G690" s="21">
        <v>54.9</v>
      </c>
      <c r="H690" s="21">
        <v>0</v>
      </c>
      <c r="I690" s="21">
        <f t="shared" si="684"/>
        <v>0</v>
      </c>
      <c r="J690" s="21">
        <f t="shared" si="685"/>
        <v>0</v>
      </c>
      <c r="K690" s="21">
        <f t="shared" si="686"/>
        <v>0</v>
      </c>
      <c r="L690" s="21">
        <v>0</v>
      </c>
      <c r="M690" s="21">
        <f t="shared" si="687"/>
        <v>0</v>
      </c>
      <c r="N690" s="35" t="s">
        <v>2417</v>
      </c>
      <c r="O690" s="39"/>
      <c r="U690" s="41">
        <f t="shared" si="688"/>
        <v>0</v>
      </c>
      <c r="W690" s="41">
        <f t="shared" si="689"/>
        <v>0</v>
      </c>
      <c r="X690" s="41">
        <f t="shared" si="690"/>
        <v>0</v>
      </c>
      <c r="Y690" s="41">
        <f t="shared" si="691"/>
        <v>0</v>
      </c>
      <c r="Z690" s="41">
        <f t="shared" si="692"/>
        <v>0</v>
      </c>
      <c r="AA690" s="41">
        <f t="shared" si="693"/>
        <v>0</v>
      </c>
      <c r="AB690" s="41">
        <f t="shared" si="694"/>
        <v>0</v>
      </c>
      <c r="AC690" s="41">
        <f t="shared" si="695"/>
        <v>0</v>
      </c>
      <c r="AD690" s="31"/>
      <c r="AE690" s="21">
        <f t="shared" si="696"/>
        <v>0</v>
      </c>
      <c r="AF690" s="21">
        <f t="shared" si="697"/>
        <v>0</v>
      </c>
      <c r="AG690" s="21">
        <f t="shared" si="698"/>
        <v>0</v>
      </c>
      <c r="AI690" s="41">
        <v>21</v>
      </c>
      <c r="AJ690" s="41">
        <f>H690*0.257427027027027</f>
        <v>0</v>
      </c>
      <c r="AK690" s="41">
        <f>H690*(1-0.257427027027027)</f>
        <v>0</v>
      </c>
      <c r="AL690" s="42" t="s">
        <v>13</v>
      </c>
      <c r="AQ690" s="41">
        <f t="shared" si="699"/>
        <v>0</v>
      </c>
      <c r="AR690" s="41">
        <f t="shared" si="700"/>
        <v>0</v>
      </c>
      <c r="AS690" s="41">
        <f t="shared" si="701"/>
        <v>0</v>
      </c>
      <c r="AT690" s="44" t="s">
        <v>2448</v>
      </c>
      <c r="AU690" s="44" t="s">
        <v>2484</v>
      </c>
      <c r="AV690" s="31" t="s">
        <v>2486</v>
      </c>
      <c r="AX690" s="41">
        <f t="shared" si="702"/>
        <v>0</v>
      </c>
      <c r="AY690" s="41">
        <f t="shared" si="703"/>
        <v>0</v>
      </c>
      <c r="AZ690" s="41">
        <v>0</v>
      </c>
      <c r="BA690" s="41">
        <f t="shared" si="704"/>
        <v>0</v>
      </c>
      <c r="BC690" s="21">
        <f t="shared" si="705"/>
        <v>0</v>
      </c>
      <c r="BD690" s="21">
        <f t="shared" si="706"/>
        <v>0</v>
      </c>
      <c r="BE690" s="21">
        <f t="shared" si="707"/>
        <v>0</v>
      </c>
      <c r="BF690" s="21" t="s">
        <v>2492</v>
      </c>
      <c r="BG690" s="41">
        <v>781</v>
      </c>
    </row>
    <row r="691" spans="1:59" x14ac:dyDescent="0.3">
      <c r="A691" s="4" t="s">
        <v>676</v>
      </c>
      <c r="B691" s="13"/>
      <c r="C691" s="13" t="s">
        <v>1287</v>
      </c>
      <c r="D691" s="101" t="s">
        <v>2078</v>
      </c>
      <c r="E691" s="102"/>
      <c r="F691" s="13" t="s">
        <v>2385</v>
      </c>
      <c r="G691" s="21">
        <v>6.7</v>
      </c>
      <c r="H691" s="21">
        <v>0</v>
      </c>
      <c r="I691" s="21">
        <f t="shared" si="684"/>
        <v>0</v>
      </c>
      <c r="J691" s="21">
        <f t="shared" si="685"/>
        <v>0</v>
      </c>
      <c r="K691" s="21">
        <f t="shared" si="686"/>
        <v>0</v>
      </c>
      <c r="L691" s="21">
        <v>0</v>
      </c>
      <c r="M691" s="21">
        <f t="shared" si="687"/>
        <v>0</v>
      </c>
      <c r="N691" s="35" t="s">
        <v>2417</v>
      </c>
      <c r="O691" s="39"/>
      <c r="U691" s="41">
        <f t="shared" si="688"/>
        <v>0</v>
      </c>
      <c r="W691" s="41">
        <f t="shared" si="689"/>
        <v>0</v>
      </c>
      <c r="X691" s="41">
        <f t="shared" si="690"/>
        <v>0</v>
      </c>
      <c r="Y691" s="41">
        <f t="shared" si="691"/>
        <v>0</v>
      </c>
      <c r="Z691" s="41">
        <f t="shared" si="692"/>
        <v>0</v>
      </c>
      <c r="AA691" s="41">
        <f t="shared" si="693"/>
        <v>0</v>
      </c>
      <c r="AB691" s="41">
        <f t="shared" si="694"/>
        <v>0</v>
      </c>
      <c r="AC691" s="41">
        <f t="shared" si="695"/>
        <v>0</v>
      </c>
      <c r="AD691" s="31"/>
      <c r="AE691" s="21">
        <f t="shared" si="696"/>
        <v>0</v>
      </c>
      <c r="AF691" s="21">
        <f t="shared" si="697"/>
        <v>0</v>
      </c>
      <c r="AG691" s="21">
        <f t="shared" si="698"/>
        <v>0</v>
      </c>
      <c r="AI691" s="41">
        <v>21</v>
      </c>
      <c r="AJ691" s="41">
        <f>H691*0</f>
        <v>0</v>
      </c>
      <c r="AK691" s="41">
        <f>H691*(1-0)</f>
        <v>0</v>
      </c>
      <c r="AL691" s="42" t="s">
        <v>13</v>
      </c>
      <c r="AQ691" s="41">
        <f t="shared" si="699"/>
        <v>0</v>
      </c>
      <c r="AR691" s="41">
        <f t="shared" si="700"/>
        <v>0</v>
      </c>
      <c r="AS691" s="41">
        <f t="shared" si="701"/>
        <v>0</v>
      </c>
      <c r="AT691" s="44" t="s">
        <v>2448</v>
      </c>
      <c r="AU691" s="44" t="s">
        <v>2484</v>
      </c>
      <c r="AV691" s="31" t="s">
        <v>2486</v>
      </c>
      <c r="AX691" s="41">
        <f t="shared" si="702"/>
        <v>0</v>
      </c>
      <c r="AY691" s="41">
        <f t="shared" si="703"/>
        <v>0</v>
      </c>
      <c r="AZ691" s="41">
        <v>0</v>
      </c>
      <c r="BA691" s="41">
        <f t="shared" si="704"/>
        <v>0</v>
      </c>
      <c r="BC691" s="21">
        <f t="shared" si="705"/>
        <v>0</v>
      </c>
      <c r="BD691" s="21">
        <f t="shared" si="706"/>
        <v>0</v>
      </c>
      <c r="BE691" s="21">
        <f t="shared" si="707"/>
        <v>0</v>
      </c>
      <c r="BF691" s="21" t="s">
        <v>2492</v>
      </c>
      <c r="BG691" s="41">
        <v>781</v>
      </c>
    </row>
    <row r="692" spans="1:59" x14ac:dyDescent="0.3">
      <c r="A692" s="6" t="s">
        <v>677</v>
      </c>
      <c r="B692" s="15"/>
      <c r="C692" s="15" t="s">
        <v>1288</v>
      </c>
      <c r="D692" s="107" t="s">
        <v>2079</v>
      </c>
      <c r="E692" s="108"/>
      <c r="F692" s="15" t="s">
        <v>2391</v>
      </c>
      <c r="G692" s="22">
        <v>4</v>
      </c>
      <c r="H692" s="21">
        <v>0</v>
      </c>
      <c r="I692" s="22">
        <f t="shared" si="684"/>
        <v>0</v>
      </c>
      <c r="J692" s="22">
        <f t="shared" si="685"/>
        <v>0</v>
      </c>
      <c r="K692" s="22">
        <f t="shared" si="686"/>
        <v>0</v>
      </c>
      <c r="L692" s="22">
        <v>6.0000000000000001E-3</v>
      </c>
      <c r="M692" s="22">
        <f t="shared" si="687"/>
        <v>2.4E-2</v>
      </c>
      <c r="N692" s="37" t="s">
        <v>2417</v>
      </c>
      <c r="O692" s="39"/>
      <c r="U692" s="41">
        <f t="shared" si="688"/>
        <v>0</v>
      </c>
      <c r="W692" s="41">
        <f t="shared" si="689"/>
        <v>0</v>
      </c>
      <c r="X692" s="41">
        <f t="shared" si="690"/>
        <v>0</v>
      </c>
      <c r="Y692" s="41">
        <f t="shared" si="691"/>
        <v>0</v>
      </c>
      <c r="Z692" s="41">
        <f t="shared" si="692"/>
        <v>0</v>
      </c>
      <c r="AA692" s="41">
        <f t="shared" si="693"/>
        <v>0</v>
      </c>
      <c r="AB692" s="41">
        <f t="shared" si="694"/>
        <v>0</v>
      </c>
      <c r="AC692" s="41">
        <f t="shared" si="695"/>
        <v>0</v>
      </c>
      <c r="AD692" s="31"/>
      <c r="AE692" s="22">
        <f t="shared" si="696"/>
        <v>0</v>
      </c>
      <c r="AF692" s="22">
        <f t="shared" si="697"/>
        <v>0</v>
      </c>
      <c r="AG692" s="22">
        <f t="shared" si="698"/>
        <v>0</v>
      </c>
      <c r="AI692" s="41">
        <v>21</v>
      </c>
      <c r="AJ692" s="41">
        <f>H692*1</f>
        <v>0</v>
      </c>
      <c r="AK692" s="41">
        <f>H692*(1-1)</f>
        <v>0</v>
      </c>
      <c r="AL692" s="43" t="s">
        <v>13</v>
      </c>
      <c r="AQ692" s="41">
        <f t="shared" si="699"/>
        <v>0</v>
      </c>
      <c r="AR692" s="41">
        <f t="shared" si="700"/>
        <v>0</v>
      </c>
      <c r="AS692" s="41">
        <f t="shared" si="701"/>
        <v>0</v>
      </c>
      <c r="AT692" s="44" t="s">
        <v>2448</v>
      </c>
      <c r="AU692" s="44" t="s">
        <v>2484</v>
      </c>
      <c r="AV692" s="31" t="s">
        <v>2486</v>
      </c>
      <c r="AX692" s="41">
        <f t="shared" si="702"/>
        <v>0</v>
      </c>
      <c r="AY692" s="41">
        <f t="shared" si="703"/>
        <v>0</v>
      </c>
      <c r="AZ692" s="41">
        <v>0</v>
      </c>
      <c r="BA692" s="41">
        <f t="shared" si="704"/>
        <v>2.4E-2</v>
      </c>
      <c r="BC692" s="22">
        <f t="shared" si="705"/>
        <v>0</v>
      </c>
      <c r="BD692" s="22">
        <f t="shared" si="706"/>
        <v>0</v>
      </c>
      <c r="BE692" s="22">
        <f t="shared" si="707"/>
        <v>0</v>
      </c>
      <c r="BF692" s="22" t="s">
        <v>1341</v>
      </c>
      <c r="BG692" s="41">
        <v>781</v>
      </c>
    </row>
    <row r="693" spans="1:59" ht="12.75" customHeight="1" x14ac:dyDescent="0.3">
      <c r="A693" s="5"/>
      <c r="B693" s="14"/>
      <c r="C693" s="14" t="s">
        <v>785</v>
      </c>
      <c r="D693" s="103" t="s">
        <v>2080</v>
      </c>
      <c r="E693" s="104"/>
      <c r="F693" s="19" t="s">
        <v>6</v>
      </c>
      <c r="G693" s="19" t="s">
        <v>6</v>
      </c>
      <c r="H693" s="19" t="s">
        <v>6</v>
      </c>
      <c r="I693" s="47">
        <f>SUM(I694:I694)</f>
        <v>0</v>
      </c>
      <c r="J693" s="47">
        <f>SUM(J694:J694)</f>
        <v>0</v>
      </c>
      <c r="K693" s="47">
        <f>SUM(K694:K694)</f>
        <v>0</v>
      </c>
      <c r="L693" s="31"/>
      <c r="M693" s="47">
        <f>SUM(M694:M694)</f>
        <v>6.8750000000000006E-2</v>
      </c>
      <c r="N693" s="36"/>
      <c r="O693" s="39"/>
      <c r="P693" s="94"/>
      <c r="AD693" s="31"/>
      <c r="AN693" s="47">
        <f>SUM(AE694:AE694)</f>
        <v>0</v>
      </c>
      <c r="AO693" s="47">
        <f>SUM(AF694:AF694)</f>
        <v>0</v>
      </c>
      <c r="AP693" s="47">
        <f>SUM(AG694:AG694)</f>
        <v>0</v>
      </c>
    </row>
    <row r="694" spans="1:59" ht="12.75" customHeight="1" x14ac:dyDescent="0.3">
      <c r="A694" s="4" t="s">
        <v>678</v>
      </c>
      <c r="B694" s="13" t="s">
        <v>1005</v>
      </c>
      <c r="C694" s="13" t="s">
        <v>1289</v>
      </c>
      <c r="D694" s="101" t="s">
        <v>2081</v>
      </c>
      <c r="E694" s="102"/>
      <c r="F694" s="13" t="s">
        <v>2387</v>
      </c>
      <c r="G694" s="21">
        <v>55</v>
      </c>
      <c r="H694" s="21">
        <v>0</v>
      </c>
      <c r="I694" s="21">
        <f>G694*AJ694</f>
        <v>0</v>
      </c>
      <c r="J694" s="21">
        <f>G694*AK694</f>
        <v>0</v>
      </c>
      <c r="K694" s="21">
        <f>G694*H694</f>
        <v>0</v>
      </c>
      <c r="L694" s="21">
        <v>1.25E-3</v>
      </c>
      <c r="M694" s="21">
        <f>G694*L694</f>
        <v>6.8750000000000006E-2</v>
      </c>
      <c r="N694" s="35" t="s">
        <v>2417</v>
      </c>
      <c r="O694" s="39"/>
      <c r="P694" s="94"/>
      <c r="U694" s="41">
        <f>IF(AL694="5",BE694,0)</f>
        <v>0</v>
      </c>
      <c r="W694" s="41">
        <f>IF(AL694="1",BC694,0)</f>
        <v>0</v>
      </c>
      <c r="X694" s="41">
        <f>IF(AL694="1",BD694,0)</f>
        <v>0</v>
      </c>
      <c r="Y694" s="41">
        <f>IF(AL694="7",BC694,0)</f>
        <v>0</v>
      </c>
      <c r="Z694" s="41">
        <f>IF(AL694="7",BD694,0)</f>
        <v>0</v>
      </c>
      <c r="AA694" s="41">
        <f>IF(AL694="2",BC694,0)</f>
        <v>0</v>
      </c>
      <c r="AB694" s="41">
        <f>IF(AL694="2",BD694,0)</f>
        <v>0</v>
      </c>
      <c r="AC694" s="41">
        <f>IF(AL694="0",BE694,0)</f>
        <v>0</v>
      </c>
      <c r="AD694" s="31" t="s">
        <v>1005</v>
      </c>
      <c r="AE694" s="21">
        <f>IF(AI694=0,K694,0)</f>
        <v>0</v>
      </c>
      <c r="AF694" s="21">
        <f>IF(AI694=15,K694,0)</f>
        <v>0</v>
      </c>
      <c r="AG694" s="21">
        <f>IF(AI694=21,K694,0)</f>
        <v>0</v>
      </c>
      <c r="AI694" s="41">
        <v>21</v>
      </c>
      <c r="AJ694" s="41">
        <f>H694*0.23696682464455</f>
        <v>0</v>
      </c>
      <c r="AK694" s="41">
        <f>H694*(1-0.23696682464455)</f>
        <v>0</v>
      </c>
      <c r="AL694" s="42" t="s">
        <v>13</v>
      </c>
      <c r="AQ694" s="41">
        <f>AR694+AS694</f>
        <v>0</v>
      </c>
      <c r="AR694" s="41">
        <f>G694*AJ694</f>
        <v>0</v>
      </c>
      <c r="AS694" s="41">
        <f>G694*AK694</f>
        <v>0</v>
      </c>
      <c r="AT694" s="44" t="s">
        <v>2449</v>
      </c>
      <c r="AU694" s="44" t="s">
        <v>2484</v>
      </c>
      <c r="AV694" s="31" t="s">
        <v>2487</v>
      </c>
      <c r="AX694" s="41">
        <f>AR694+AS694</f>
        <v>0</v>
      </c>
      <c r="AY694" s="41">
        <f>H694/(100-AZ694)*100</f>
        <v>0</v>
      </c>
      <c r="AZ694" s="41">
        <v>0</v>
      </c>
      <c r="BA694" s="41">
        <f>M694</f>
        <v>6.8750000000000006E-2</v>
      </c>
      <c r="BC694" s="21">
        <f>G694*AJ694</f>
        <v>0</v>
      </c>
      <c r="BD694" s="21">
        <f>G694*AK694</f>
        <v>0</v>
      </c>
      <c r="BE694" s="21">
        <f>G694*H694</f>
        <v>0</v>
      </c>
      <c r="BF694" s="21" t="s">
        <v>2492</v>
      </c>
      <c r="BG694" s="41">
        <v>783</v>
      </c>
    </row>
    <row r="695" spans="1:59" x14ac:dyDescent="0.3">
      <c r="A695" s="5"/>
      <c r="B695" s="14"/>
      <c r="C695" s="14" t="s">
        <v>786</v>
      </c>
      <c r="D695" s="103" t="s">
        <v>2082</v>
      </c>
      <c r="E695" s="104"/>
      <c r="F695" s="19" t="s">
        <v>6</v>
      </c>
      <c r="G695" s="19" t="s">
        <v>6</v>
      </c>
      <c r="H695" s="19" t="s">
        <v>6</v>
      </c>
      <c r="I695" s="47">
        <f>SUM(I696:I697)</f>
        <v>0</v>
      </c>
      <c r="J695" s="47">
        <f>SUM(J696:J697)</f>
        <v>0</v>
      </c>
      <c r="K695" s="47">
        <f>SUM(K696:K697)</f>
        <v>0</v>
      </c>
      <c r="L695" s="31"/>
      <c r="M695" s="47">
        <f>SUM(M696:M697)</f>
        <v>0.82920840600000012</v>
      </c>
      <c r="N695" s="36"/>
      <c r="O695" s="39"/>
      <c r="AD695" s="31"/>
      <c r="AN695" s="47">
        <f>SUM(AE696:AE697)</f>
        <v>0</v>
      </c>
      <c r="AO695" s="47">
        <f>SUM(AF696:AF697)</f>
        <v>0</v>
      </c>
      <c r="AP695" s="47">
        <f>SUM(AG696:AG697)</f>
        <v>0</v>
      </c>
    </row>
    <row r="696" spans="1:59" x14ac:dyDescent="0.3">
      <c r="A696" s="4" t="s">
        <v>679</v>
      </c>
      <c r="B696" s="13"/>
      <c r="C696" s="13" t="s">
        <v>1290</v>
      </c>
      <c r="D696" s="101" t="s">
        <v>2083</v>
      </c>
      <c r="E696" s="102"/>
      <c r="F696" s="13" t="s">
        <v>2387</v>
      </c>
      <c r="G696" s="21">
        <v>1594.6315500000001</v>
      </c>
      <c r="H696" s="21">
        <v>0</v>
      </c>
      <c r="I696" s="21">
        <f>G696*AJ696</f>
        <v>0</v>
      </c>
      <c r="J696" s="21">
        <f>G696*AK696</f>
        <v>0</v>
      </c>
      <c r="K696" s="21">
        <f>G696*H696</f>
        <v>0</v>
      </c>
      <c r="L696" s="21">
        <v>2.0000000000000001E-4</v>
      </c>
      <c r="M696" s="21">
        <f>G696*L696</f>
        <v>0.31892631000000005</v>
      </c>
      <c r="N696" s="35" t="s">
        <v>2417</v>
      </c>
      <c r="O696" s="39"/>
      <c r="U696" s="41">
        <f>IF(AL696="5",BE696,0)</f>
        <v>0</v>
      </c>
      <c r="W696" s="41">
        <f>IF(AL696="1",BC696,0)</f>
        <v>0</v>
      </c>
      <c r="X696" s="41">
        <f>IF(AL696="1",BD696,0)</f>
        <v>0</v>
      </c>
      <c r="Y696" s="41">
        <f>IF(AL696="7",BC696,0)</f>
        <v>0</v>
      </c>
      <c r="Z696" s="41">
        <f>IF(AL696="7",BD696,0)</f>
        <v>0</v>
      </c>
      <c r="AA696" s="41">
        <f>IF(AL696="2",BC696,0)</f>
        <v>0</v>
      </c>
      <c r="AB696" s="41">
        <f>IF(AL696="2",BD696,0)</f>
        <v>0</v>
      </c>
      <c r="AC696" s="41">
        <f>IF(AL696="0",BE696,0)</f>
        <v>0</v>
      </c>
      <c r="AD696" s="31"/>
      <c r="AE696" s="21">
        <f>IF(AI696=0,K696,0)</f>
        <v>0</v>
      </c>
      <c r="AF696" s="21">
        <f>IF(AI696=15,K696,0)</f>
        <v>0</v>
      </c>
      <c r="AG696" s="21">
        <f>IF(AI696=21,K696,0)</f>
        <v>0</v>
      </c>
      <c r="AI696" s="41">
        <v>21</v>
      </c>
      <c r="AJ696" s="41">
        <f>H696*0.40212765698117</f>
        <v>0</v>
      </c>
      <c r="AK696" s="41">
        <f>H696*(1-0.40212765698117)</f>
        <v>0</v>
      </c>
      <c r="AL696" s="42" t="s">
        <v>13</v>
      </c>
      <c r="AQ696" s="41">
        <f>AR696+AS696</f>
        <v>0</v>
      </c>
      <c r="AR696" s="41">
        <f>G696*AJ696</f>
        <v>0</v>
      </c>
      <c r="AS696" s="41">
        <f>G696*AK696</f>
        <v>0</v>
      </c>
      <c r="AT696" s="44" t="s">
        <v>2450</v>
      </c>
      <c r="AU696" s="44" t="s">
        <v>2484</v>
      </c>
      <c r="AV696" s="31" t="s">
        <v>2486</v>
      </c>
      <c r="AX696" s="41">
        <f>AR696+AS696</f>
        <v>0</v>
      </c>
      <c r="AY696" s="41">
        <f>H696/(100-AZ696)*100</f>
        <v>0</v>
      </c>
      <c r="AZ696" s="41">
        <v>0</v>
      </c>
      <c r="BA696" s="41">
        <f>M696</f>
        <v>0.31892631000000005</v>
      </c>
      <c r="BC696" s="21">
        <f>G696*AJ696</f>
        <v>0</v>
      </c>
      <c r="BD696" s="21">
        <f>G696*AK696</f>
        <v>0</v>
      </c>
      <c r="BE696" s="21">
        <f>G696*H696</f>
        <v>0</v>
      </c>
      <c r="BF696" s="21" t="s">
        <v>2492</v>
      </c>
      <c r="BG696" s="41">
        <v>784</v>
      </c>
    </row>
    <row r="697" spans="1:59" x14ac:dyDescent="0.3">
      <c r="A697" s="4" t="s">
        <v>680</v>
      </c>
      <c r="B697" s="13"/>
      <c r="C697" s="13" t="s">
        <v>1291</v>
      </c>
      <c r="D697" s="101" t="s">
        <v>2084</v>
      </c>
      <c r="E697" s="102"/>
      <c r="F697" s="13" t="s">
        <v>2387</v>
      </c>
      <c r="G697" s="21">
        <v>1594.6315500000001</v>
      </c>
      <c r="H697" s="21">
        <v>0</v>
      </c>
      <c r="I697" s="21">
        <f>G697*AJ697</f>
        <v>0</v>
      </c>
      <c r="J697" s="21">
        <f>G697*AK697</f>
        <v>0</v>
      </c>
      <c r="K697" s="21">
        <f>G697*H697</f>
        <v>0</v>
      </c>
      <c r="L697" s="21">
        <v>3.2000000000000003E-4</v>
      </c>
      <c r="M697" s="21">
        <f>G697*L697</f>
        <v>0.51028209600000007</v>
      </c>
      <c r="N697" s="35" t="s">
        <v>2417</v>
      </c>
      <c r="O697" s="39"/>
      <c r="U697" s="41">
        <f>IF(AL697="5",BE697,0)</f>
        <v>0</v>
      </c>
      <c r="W697" s="41">
        <f>IF(AL697="1",BC697,0)</f>
        <v>0</v>
      </c>
      <c r="X697" s="41">
        <f>IF(AL697="1",BD697,0)</f>
        <v>0</v>
      </c>
      <c r="Y697" s="41">
        <f>IF(AL697="7",BC697,0)</f>
        <v>0</v>
      </c>
      <c r="Z697" s="41">
        <f>IF(AL697="7",BD697,0)</f>
        <v>0</v>
      </c>
      <c r="AA697" s="41">
        <f>IF(AL697="2",BC697,0)</f>
        <v>0</v>
      </c>
      <c r="AB697" s="41">
        <f>IF(AL697="2",BD697,0)</f>
        <v>0</v>
      </c>
      <c r="AC697" s="41">
        <f>IF(AL697="0",BE697,0)</f>
        <v>0</v>
      </c>
      <c r="AD697" s="31"/>
      <c r="AE697" s="21">
        <f>IF(AI697=0,K697,0)</f>
        <v>0</v>
      </c>
      <c r="AF697" s="21">
        <f>IF(AI697=15,K697,0)</f>
        <v>0</v>
      </c>
      <c r="AG697" s="21">
        <f>IF(AI697=21,K697,0)</f>
        <v>0</v>
      </c>
      <c r="AI697" s="41">
        <v>21</v>
      </c>
      <c r="AJ697" s="41">
        <f>H697*0.262813359662097</f>
        <v>0</v>
      </c>
      <c r="AK697" s="41">
        <f>H697*(1-0.262813359662097)</f>
        <v>0</v>
      </c>
      <c r="AL697" s="42" t="s">
        <v>13</v>
      </c>
      <c r="AQ697" s="41">
        <f>AR697+AS697</f>
        <v>0</v>
      </c>
      <c r="AR697" s="41">
        <f>G697*AJ697</f>
        <v>0</v>
      </c>
      <c r="AS697" s="41">
        <f>G697*AK697</f>
        <v>0</v>
      </c>
      <c r="AT697" s="44" t="s">
        <v>2450</v>
      </c>
      <c r="AU697" s="44" t="s">
        <v>2484</v>
      </c>
      <c r="AV697" s="31" t="s">
        <v>2486</v>
      </c>
      <c r="AX697" s="41">
        <f>AR697+AS697</f>
        <v>0</v>
      </c>
      <c r="AY697" s="41">
        <f>H697/(100-AZ697)*100</f>
        <v>0</v>
      </c>
      <c r="AZ697" s="41">
        <v>0</v>
      </c>
      <c r="BA697" s="41">
        <f>M697</f>
        <v>0.51028209600000007</v>
      </c>
      <c r="BC697" s="21">
        <f>G697*AJ697</f>
        <v>0</v>
      </c>
      <c r="BD697" s="21">
        <f>G697*AK697</f>
        <v>0</v>
      </c>
      <c r="BE697" s="21">
        <f>G697*H697</f>
        <v>0</v>
      </c>
      <c r="BF697" s="21" t="s">
        <v>2492</v>
      </c>
      <c r="BG697" s="41">
        <v>784</v>
      </c>
    </row>
    <row r="698" spans="1:59" x14ac:dyDescent="0.3">
      <c r="A698" s="5"/>
      <c r="B698" s="14"/>
      <c r="C698" s="14" t="s">
        <v>790</v>
      </c>
      <c r="D698" s="103" t="s">
        <v>2085</v>
      </c>
      <c r="E698" s="104"/>
      <c r="F698" s="19" t="s">
        <v>6</v>
      </c>
      <c r="G698" s="19" t="s">
        <v>6</v>
      </c>
      <c r="H698" s="19" t="s">
        <v>6</v>
      </c>
      <c r="I698" s="47">
        <f>SUM(I699:I718)</f>
        <v>0</v>
      </c>
      <c r="J698" s="47">
        <f>SUM(J699:J718)</f>
        <v>0</v>
      </c>
      <c r="K698" s="47">
        <f>SUM(K699:K718)</f>
        <v>0</v>
      </c>
      <c r="L698" s="31"/>
      <c r="M698" s="47">
        <f>SUM(M699:M718)</f>
        <v>1.54555</v>
      </c>
      <c r="N698" s="36"/>
      <c r="O698" s="39"/>
      <c r="AD698" s="31"/>
      <c r="AN698" s="47">
        <f>SUM(AE699:AE718)</f>
        <v>0</v>
      </c>
      <c r="AO698" s="47">
        <f>SUM(AF699:AF718)</f>
        <v>0</v>
      </c>
      <c r="AP698" s="47">
        <f>SUM(AG699:AG718)</f>
        <v>0</v>
      </c>
    </row>
    <row r="699" spans="1:59" x14ac:dyDescent="0.3">
      <c r="A699" s="6" t="s">
        <v>681</v>
      </c>
      <c r="B699" s="15"/>
      <c r="C699" s="15" t="s">
        <v>1119</v>
      </c>
      <c r="D699" s="107" t="s">
        <v>2086</v>
      </c>
      <c r="E699" s="108"/>
      <c r="F699" s="15" t="s">
        <v>2391</v>
      </c>
      <c r="G699" s="22">
        <v>6</v>
      </c>
      <c r="H699" s="21">
        <v>0</v>
      </c>
      <c r="I699" s="22">
        <f t="shared" ref="I699:I718" si="708">G699*AJ699</f>
        <v>0</v>
      </c>
      <c r="J699" s="22">
        <f t="shared" ref="J699:J718" si="709">G699*AK699</f>
        <v>0</v>
      </c>
      <c r="K699" s="22">
        <f t="shared" ref="K699:K718" si="710">G699*H699</f>
        <v>0</v>
      </c>
      <c r="L699" s="22">
        <v>6.0000000000000001E-3</v>
      </c>
      <c r="M699" s="22">
        <f t="shared" ref="M699:M718" si="711">G699*L699</f>
        <v>3.6000000000000004E-2</v>
      </c>
      <c r="N699" s="37" t="s">
        <v>2417</v>
      </c>
      <c r="O699" s="39"/>
      <c r="U699" s="41">
        <f t="shared" ref="U699:U718" si="712">IF(AL699="5",BE699,0)</f>
        <v>0</v>
      </c>
      <c r="W699" s="41">
        <f t="shared" ref="W699:W718" si="713">IF(AL699="1",BC699,0)</f>
        <v>0</v>
      </c>
      <c r="X699" s="41">
        <f t="shared" ref="X699:X718" si="714">IF(AL699="1",BD699,0)</f>
        <v>0</v>
      </c>
      <c r="Y699" s="41">
        <f t="shared" ref="Y699:Y718" si="715">IF(AL699="7",BC699,0)</f>
        <v>0</v>
      </c>
      <c r="Z699" s="41">
        <f t="shared" ref="Z699:Z718" si="716">IF(AL699="7",BD699,0)</f>
        <v>0</v>
      </c>
      <c r="AA699" s="41">
        <f t="shared" ref="AA699:AA718" si="717">IF(AL699="2",BC699,0)</f>
        <v>0</v>
      </c>
      <c r="AB699" s="41">
        <f t="shared" ref="AB699:AB718" si="718">IF(AL699="2",BD699,0)</f>
        <v>0</v>
      </c>
      <c r="AC699" s="41">
        <f t="shared" ref="AC699:AC718" si="719">IF(AL699="0",BE699,0)</f>
        <v>0</v>
      </c>
      <c r="AD699" s="31"/>
      <c r="AE699" s="22">
        <f t="shared" ref="AE699:AE718" si="720">IF(AI699=0,K699,0)</f>
        <v>0</v>
      </c>
      <c r="AF699" s="22">
        <f t="shared" ref="AF699:AF718" si="721">IF(AI699=15,K699,0)</f>
        <v>0</v>
      </c>
      <c r="AG699" s="22">
        <f t="shared" ref="AG699:AG718" si="722">IF(AI699=21,K699,0)</f>
        <v>0</v>
      </c>
      <c r="AI699" s="41">
        <v>21</v>
      </c>
      <c r="AJ699" s="41">
        <f t="shared" ref="AJ699:AJ717" si="723">H699*1</f>
        <v>0</v>
      </c>
      <c r="AK699" s="41">
        <f t="shared" ref="AK699:AK717" si="724">H699*(1-1)</f>
        <v>0</v>
      </c>
      <c r="AL699" s="43" t="s">
        <v>13</v>
      </c>
      <c r="AQ699" s="41">
        <f t="shared" ref="AQ699:AQ718" si="725">AR699+AS699</f>
        <v>0</v>
      </c>
      <c r="AR699" s="41">
        <f t="shared" ref="AR699:AR718" si="726">G699*AJ699</f>
        <v>0</v>
      </c>
      <c r="AS699" s="41">
        <f t="shared" ref="AS699:AS718" si="727">G699*AK699</f>
        <v>0</v>
      </c>
      <c r="AT699" s="44" t="s">
        <v>2451</v>
      </c>
      <c r="AU699" s="44" t="s">
        <v>2484</v>
      </c>
      <c r="AV699" s="31" t="s">
        <v>2486</v>
      </c>
      <c r="AX699" s="41">
        <f t="shared" ref="AX699:AX718" si="728">AR699+AS699</f>
        <v>0</v>
      </c>
      <c r="AY699" s="41">
        <f t="shared" ref="AY699:AY718" si="729">H699/(100-AZ699)*100</f>
        <v>0</v>
      </c>
      <c r="AZ699" s="41">
        <v>0</v>
      </c>
      <c r="BA699" s="41">
        <f t="shared" ref="BA699:BA718" si="730">M699</f>
        <v>3.6000000000000004E-2</v>
      </c>
      <c r="BC699" s="22">
        <f t="shared" ref="BC699:BC718" si="731">G699*AJ699</f>
        <v>0</v>
      </c>
      <c r="BD699" s="22">
        <f t="shared" ref="BD699:BD718" si="732">G699*AK699</f>
        <v>0</v>
      </c>
      <c r="BE699" s="22">
        <f t="shared" ref="BE699:BE718" si="733">G699*H699</f>
        <v>0</v>
      </c>
      <c r="BF699" s="22" t="s">
        <v>1341</v>
      </c>
      <c r="BG699" s="41">
        <v>788</v>
      </c>
    </row>
    <row r="700" spans="1:59" x14ac:dyDescent="0.3">
      <c r="A700" s="6" t="s">
        <v>682</v>
      </c>
      <c r="B700" s="15"/>
      <c r="C700" s="15" t="s">
        <v>1119</v>
      </c>
      <c r="D700" s="107" t="s">
        <v>2087</v>
      </c>
      <c r="E700" s="108"/>
      <c r="F700" s="15" t="s">
        <v>2391</v>
      </c>
      <c r="G700" s="22">
        <v>3</v>
      </c>
      <c r="H700" s="21">
        <v>0</v>
      </c>
      <c r="I700" s="22">
        <f t="shared" si="708"/>
        <v>0</v>
      </c>
      <c r="J700" s="22">
        <f t="shared" si="709"/>
        <v>0</v>
      </c>
      <c r="K700" s="22">
        <f t="shared" si="710"/>
        <v>0</v>
      </c>
      <c r="L700" s="22">
        <v>2.3999999999999998E-3</v>
      </c>
      <c r="M700" s="22">
        <f t="shared" si="711"/>
        <v>7.1999999999999998E-3</v>
      </c>
      <c r="N700" s="37" t="s">
        <v>2417</v>
      </c>
      <c r="O700" s="39"/>
      <c r="U700" s="41">
        <f t="shared" si="712"/>
        <v>0</v>
      </c>
      <c r="W700" s="41">
        <f t="shared" si="713"/>
        <v>0</v>
      </c>
      <c r="X700" s="41">
        <f t="shared" si="714"/>
        <v>0</v>
      </c>
      <c r="Y700" s="41">
        <f t="shared" si="715"/>
        <v>0</v>
      </c>
      <c r="Z700" s="41">
        <f t="shared" si="716"/>
        <v>0</v>
      </c>
      <c r="AA700" s="41">
        <f t="shared" si="717"/>
        <v>0</v>
      </c>
      <c r="AB700" s="41">
        <f t="shared" si="718"/>
        <v>0</v>
      </c>
      <c r="AC700" s="41">
        <f t="shared" si="719"/>
        <v>0</v>
      </c>
      <c r="AD700" s="31"/>
      <c r="AE700" s="22">
        <f t="shared" si="720"/>
        <v>0</v>
      </c>
      <c r="AF700" s="22">
        <f t="shared" si="721"/>
        <v>0</v>
      </c>
      <c r="AG700" s="22">
        <f t="shared" si="722"/>
        <v>0</v>
      </c>
      <c r="AI700" s="41">
        <v>21</v>
      </c>
      <c r="AJ700" s="41">
        <f t="shared" si="723"/>
        <v>0</v>
      </c>
      <c r="AK700" s="41">
        <f t="shared" si="724"/>
        <v>0</v>
      </c>
      <c r="AL700" s="43" t="s">
        <v>13</v>
      </c>
      <c r="AQ700" s="41">
        <f t="shared" si="725"/>
        <v>0</v>
      </c>
      <c r="AR700" s="41">
        <f t="shared" si="726"/>
        <v>0</v>
      </c>
      <c r="AS700" s="41">
        <f t="shared" si="727"/>
        <v>0</v>
      </c>
      <c r="AT700" s="44" t="s">
        <v>2451</v>
      </c>
      <c r="AU700" s="44" t="s">
        <v>2484</v>
      </c>
      <c r="AV700" s="31" t="s">
        <v>2486</v>
      </c>
      <c r="AX700" s="41">
        <f t="shared" si="728"/>
        <v>0</v>
      </c>
      <c r="AY700" s="41">
        <f t="shared" si="729"/>
        <v>0</v>
      </c>
      <c r="AZ700" s="41">
        <v>0</v>
      </c>
      <c r="BA700" s="41">
        <f t="shared" si="730"/>
        <v>7.1999999999999998E-3</v>
      </c>
      <c r="BC700" s="22">
        <f t="shared" si="731"/>
        <v>0</v>
      </c>
      <c r="BD700" s="22">
        <f t="shared" si="732"/>
        <v>0</v>
      </c>
      <c r="BE700" s="22">
        <f t="shared" si="733"/>
        <v>0</v>
      </c>
      <c r="BF700" s="22" t="s">
        <v>1341</v>
      </c>
      <c r="BG700" s="41">
        <v>788</v>
      </c>
    </row>
    <row r="701" spans="1:59" x14ac:dyDescent="0.3">
      <c r="A701" s="6" t="s">
        <v>683</v>
      </c>
      <c r="B701" s="15"/>
      <c r="C701" s="15" t="s">
        <v>1292</v>
      </c>
      <c r="D701" s="107" t="s">
        <v>2088</v>
      </c>
      <c r="E701" s="108"/>
      <c r="F701" s="15" t="s">
        <v>2391</v>
      </c>
      <c r="G701" s="22">
        <v>8</v>
      </c>
      <c r="H701" s="21">
        <v>0</v>
      </c>
      <c r="I701" s="22">
        <f t="shared" si="708"/>
        <v>0</v>
      </c>
      <c r="J701" s="22">
        <f t="shared" si="709"/>
        <v>0</v>
      </c>
      <c r="K701" s="22">
        <f t="shared" si="710"/>
        <v>0</v>
      </c>
      <c r="L701" s="22">
        <v>2.3999999999999998E-3</v>
      </c>
      <c r="M701" s="22">
        <f t="shared" si="711"/>
        <v>1.9199999999999998E-2</v>
      </c>
      <c r="N701" s="37" t="s">
        <v>2417</v>
      </c>
      <c r="O701" s="39"/>
      <c r="U701" s="41">
        <f t="shared" si="712"/>
        <v>0</v>
      </c>
      <c r="W701" s="41">
        <f t="shared" si="713"/>
        <v>0</v>
      </c>
      <c r="X701" s="41">
        <f t="shared" si="714"/>
        <v>0</v>
      </c>
      <c r="Y701" s="41">
        <f t="shared" si="715"/>
        <v>0</v>
      </c>
      <c r="Z701" s="41">
        <f t="shared" si="716"/>
        <v>0</v>
      </c>
      <c r="AA701" s="41">
        <f t="shared" si="717"/>
        <v>0</v>
      </c>
      <c r="AB701" s="41">
        <f t="shared" si="718"/>
        <v>0</v>
      </c>
      <c r="AC701" s="41">
        <f t="shared" si="719"/>
        <v>0</v>
      </c>
      <c r="AD701" s="31"/>
      <c r="AE701" s="22">
        <f t="shared" si="720"/>
        <v>0</v>
      </c>
      <c r="AF701" s="22">
        <f t="shared" si="721"/>
        <v>0</v>
      </c>
      <c r="AG701" s="22">
        <f t="shared" si="722"/>
        <v>0</v>
      </c>
      <c r="AI701" s="41">
        <v>21</v>
      </c>
      <c r="AJ701" s="41">
        <f t="shared" si="723"/>
        <v>0</v>
      </c>
      <c r="AK701" s="41">
        <f t="shared" si="724"/>
        <v>0</v>
      </c>
      <c r="AL701" s="43" t="s">
        <v>13</v>
      </c>
      <c r="AQ701" s="41">
        <f t="shared" si="725"/>
        <v>0</v>
      </c>
      <c r="AR701" s="41">
        <f t="shared" si="726"/>
        <v>0</v>
      </c>
      <c r="AS701" s="41">
        <f t="shared" si="727"/>
        <v>0</v>
      </c>
      <c r="AT701" s="44" t="s">
        <v>2451</v>
      </c>
      <c r="AU701" s="44" t="s">
        <v>2484</v>
      </c>
      <c r="AV701" s="31" t="s">
        <v>2486</v>
      </c>
      <c r="AX701" s="41">
        <f t="shared" si="728"/>
        <v>0</v>
      </c>
      <c r="AY701" s="41">
        <f t="shared" si="729"/>
        <v>0</v>
      </c>
      <c r="AZ701" s="41">
        <v>0</v>
      </c>
      <c r="BA701" s="41">
        <f t="shared" si="730"/>
        <v>1.9199999999999998E-2</v>
      </c>
      <c r="BC701" s="22">
        <f t="shared" si="731"/>
        <v>0</v>
      </c>
      <c r="BD701" s="22">
        <f t="shared" si="732"/>
        <v>0</v>
      </c>
      <c r="BE701" s="22">
        <f t="shared" si="733"/>
        <v>0</v>
      </c>
      <c r="BF701" s="22" t="s">
        <v>1341</v>
      </c>
      <c r="BG701" s="41">
        <v>788</v>
      </c>
    </row>
    <row r="702" spans="1:59" x14ac:dyDescent="0.3">
      <c r="A702" s="6" t="s">
        <v>684</v>
      </c>
      <c r="B702" s="15"/>
      <c r="C702" s="15" t="s">
        <v>1293</v>
      </c>
      <c r="D702" s="107" t="s">
        <v>2089</v>
      </c>
      <c r="E702" s="108"/>
      <c r="F702" s="15" t="s">
        <v>2391</v>
      </c>
      <c r="G702" s="22">
        <v>9</v>
      </c>
      <c r="H702" s="21">
        <v>0</v>
      </c>
      <c r="I702" s="22">
        <f t="shared" si="708"/>
        <v>0</v>
      </c>
      <c r="J702" s="22">
        <f t="shared" si="709"/>
        <v>0</v>
      </c>
      <c r="K702" s="22">
        <f t="shared" si="710"/>
        <v>0</v>
      </c>
      <c r="L702" s="22">
        <v>1.55E-2</v>
      </c>
      <c r="M702" s="22">
        <f t="shared" si="711"/>
        <v>0.13950000000000001</v>
      </c>
      <c r="N702" s="37" t="s">
        <v>2417</v>
      </c>
      <c r="O702" s="39"/>
      <c r="U702" s="41">
        <f t="shared" si="712"/>
        <v>0</v>
      </c>
      <c r="W702" s="41">
        <f t="shared" si="713"/>
        <v>0</v>
      </c>
      <c r="X702" s="41">
        <f t="shared" si="714"/>
        <v>0</v>
      </c>
      <c r="Y702" s="41">
        <f t="shared" si="715"/>
        <v>0</v>
      </c>
      <c r="Z702" s="41">
        <f t="shared" si="716"/>
        <v>0</v>
      </c>
      <c r="AA702" s="41">
        <f t="shared" si="717"/>
        <v>0</v>
      </c>
      <c r="AB702" s="41">
        <f t="shared" si="718"/>
        <v>0</v>
      </c>
      <c r="AC702" s="41">
        <f t="shared" si="719"/>
        <v>0</v>
      </c>
      <c r="AD702" s="31"/>
      <c r="AE702" s="22">
        <f t="shared" si="720"/>
        <v>0</v>
      </c>
      <c r="AF702" s="22">
        <f t="shared" si="721"/>
        <v>0</v>
      </c>
      <c r="AG702" s="22">
        <f t="shared" si="722"/>
        <v>0</v>
      </c>
      <c r="AI702" s="41">
        <v>21</v>
      </c>
      <c r="AJ702" s="41">
        <f t="shared" si="723"/>
        <v>0</v>
      </c>
      <c r="AK702" s="41">
        <f t="shared" si="724"/>
        <v>0</v>
      </c>
      <c r="AL702" s="43" t="s">
        <v>13</v>
      </c>
      <c r="AQ702" s="41">
        <f t="shared" si="725"/>
        <v>0</v>
      </c>
      <c r="AR702" s="41">
        <f t="shared" si="726"/>
        <v>0</v>
      </c>
      <c r="AS702" s="41">
        <f t="shared" si="727"/>
        <v>0</v>
      </c>
      <c r="AT702" s="44" t="s">
        <v>2451</v>
      </c>
      <c r="AU702" s="44" t="s">
        <v>2484</v>
      </c>
      <c r="AV702" s="31" t="s">
        <v>2486</v>
      </c>
      <c r="AX702" s="41">
        <f t="shared" si="728"/>
        <v>0</v>
      </c>
      <c r="AY702" s="41">
        <f t="shared" si="729"/>
        <v>0</v>
      </c>
      <c r="AZ702" s="41">
        <v>0</v>
      </c>
      <c r="BA702" s="41">
        <f t="shared" si="730"/>
        <v>0.13950000000000001</v>
      </c>
      <c r="BC702" s="22">
        <f t="shared" si="731"/>
        <v>0</v>
      </c>
      <c r="BD702" s="22">
        <f t="shared" si="732"/>
        <v>0</v>
      </c>
      <c r="BE702" s="22">
        <f t="shared" si="733"/>
        <v>0</v>
      </c>
      <c r="BF702" s="22" t="s">
        <v>1341</v>
      </c>
      <c r="BG702" s="41">
        <v>788</v>
      </c>
    </row>
    <row r="703" spans="1:59" x14ac:dyDescent="0.3">
      <c r="A703" s="6" t="s">
        <v>685</v>
      </c>
      <c r="B703" s="15"/>
      <c r="C703" s="15" t="s">
        <v>1293</v>
      </c>
      <c r="D703" s="107" t="s">
        <v>2090</v>
      </c>
      <c r="E703" s="108"/>
      <c r="F703" s="15" t="s">
        <v>2391</v>
      </c>
      <c r="G703" s="22">
        <v>7</v>
      </c>
      <c r="H703" s="21">
        <v>0</v>
      </c>
      <c r="I703" s="22">
        <f t="shared" si="708"/>
        <v>0</v>
      </c>
      <c r="J703" s="22">
        <f t="shared" si="709"/>
        <v>0</v>
      </c>
      <c r="K703" s="22">
        <f t="shared" si="710"/>
        <v>0</v>
      </c>
      <c r="L703" s="22">
        <v>2.1000000000000001E-2</v>
      </c>
      <c r="M703" s="22">
        <f t="shared" si="711"/>
        <v>0.14700000000000002</v>
      </c>
      <c r="N703" s="37" t="s">
        <v>2417</v>
      </c>
      <c r="O703" s="39"/>
      <c r="U703" s="41">
        <f t="shared" si="712"/>
        <v>0</v>
      </c>
      <c r="W703" s="41">
        <f t="shared" si="713"/>
        <v>0</v>
      </c>
      <c r="X703" s="41">
        <f t="shared" si="714"/>
        <v>0</v>
      </c>
      <c r="Y703" s="41">
        <f t="shared" si="715"/>
        <v>0</v>
      </c>
      <c r="Z703" s="41">
        <f t="shared" si="716"/>
        <v>0</v>
      </c>
      <c r="AA703" s="41">
        <f t="shared" si="717"/>
        <v>0</v>
      </c>
      <c r="AB703" s="41">
        <f t="shared" si="718"/>
        <v>0</v>
      </c>
      <c r="AC703" s="41">
        <f t="shared" si="719"/>
        <v>0</v>
      </c>
      <c r="AD703" s="31"/>
      <c r="AE703" s="22">
        <f t="shared" si="720"/>
        <v>0</v>
      </c>
      <c r="AF703" s="22">
        <f t="shared" si="721"/>
        <v>0</v>
      </c>
      <c r="AG703" s="22">
        <f t="shared" si="722"/>
        <v>0</v>
      </c>
      <c r="AI703" s="41">
        <v>21</v>
      </c>
      <c r="AJ703" s="41">
        <f t="shared" si="723"/>
        <v>0</v>
      </c>
      <c r="AK703" s="41">
        <f t="shared" si="724"/>
        <v>0</v>
      </c>
      <c r="AL703" s="43" t="s">
        <v>13</v>
      </c>
      <c r="AQ703" s="41">
        <f t="shared" si="725"/>
        <v>0</v>
      </c>
      <c r="AR703" s="41">
        <f t="shared" si="726"/>
        <v>0</v>
      </c>
      <c r="AS703" s="41">
        <f t="shared" si="727"/>
        <v>0</v>
      </c>
      <c r="AT703" s="44" t="s">
        <v>2451</v>
      </c>
      <c r="AU703" s="44" t="s">
        <v>2484</v>
      </c>
      <c r="AV703" s="31" t="s">
        <v>2486</v>
      </c>
      <c r="AX703" s="41">
        <f t="shared" si="728"/>
        <v>0</v>
      </c>
      <c r="AY703" s="41">
        <f t="shared" si="729"/>
        <v>0</v>
      </c>
      <c r="AZ703" s="41">
        <v>0</v>
      </c>
      <c r="BA703" s="41">
        <f t="shared" si="730"/>
        <v>0.14700000000000002</v>
      </c>
      <c r="BC703" s="22">
        <f t="shared" si="731"/>
        <v>0</v>
      </c>
      <c r="BD703" s="22">
        <f t="shared" si="732"/>
        <v>0</v>
      </c>
      <c r="BE703" s="22">
        <f t="shared" si="733"/>
        <v>0</v>
      </c>
      <c r="BF703" s="22" t="s">
        <v>1341</v>
      </c>
      <c r="BG703" s="41">
        <v>788</v>
      </c>
    </row>
    <row r="704" spans="1:59" x14ac:dyDescent="0.3">
      <c r="A704" s="6" t="s">
        <v>686</v>
      </c>
      <c r="B704" s="15"/>
      <c r="C704" s="15" t="s">
        <v>1293</v>
      </c>
      <c r="D704" s="107" t="s">
        <v>2091</v>
      </c>
      <c r="E704" s="108"/>
      <c r="F704" s="15" t="s">
        <v>2391</v>
      </c>
      <c r="G704" s="22">
        <v>2</v>
      </c>
      <c r="H704" s="21">
        <v>0</v>
      </c>
      <c r="I704" s="22">
        <f t="shared" si="708"/>
        <v>0</v>
      </c>
      <c r="J704" s="22">
        <f t="shared" si="709"/>
        <v>0</v>
      </c>
      <c r="K704" s="22">
        <f t="shared" si="710"/>
        <v>0</v>
      </c>
      <c r="L704" s="22">
        <v>9.5999999999999992E-3</v>
      </c>
      <c r="M704" s="22">
        <f t="shared" si="711"/>
        <v>1.9199999999999998E-2</v>
      </c>
      <c r="N704" s="37" t="s">
        <v>2417</v>
      </c>
      <c r="O704" s="39"/>
      <c r="U704" s="41">
        <f t="shared" si="712"/>
        <v>0</v>
      </c>
      <c r="W704" s="41">
        <f t="shared" si="713"/>
        <v>0</v>
      </c>
      <c r="X704" s="41">
        <f t="shared" si="714"/>
        <v>0</v>
      </c>
      <c r="Y704" s="41">
        <f t="shared" si="715"/>
        <v>0</v>
      </c>
      <c r="Z704" s="41">
        <f t="shared" si="716"/>
        <v>0</v>
      </c>
      <c r="AA704" s="41">
        <f t="shared" si="717"/>
        <v>0</v>
      </c>
      <c r="AB704" s="41">
        <f t="shared" si="718"/>
        <v>0</v>
      </c>
      <c r="AC704" s="41">
        <f t="shared" si="719"/>
        <v>0</v>
      </c>
      <c r="AD704" s="31"/>
      <c r="AE704" s="22">
        <f t="shared" si="720"/>
        <v>0</v>
      </c>
      <c r="AF704" s="22">
        <f t="shared" si="721"/>
        <v>0</v>
      </c>
      <c r="AG704" s="22">
        <f t="shared" si="722"/>
        <v>0</v>
      </c>
      <c r="AI704" s="41">
        <v>21</v>
      </c>
      <c r="AJ704" s="41">
        <f t="shared" si="723"/>
        <v>0</v>
      </c>
      <c r="AK704" s="41">
        <f t="shared" si="724"/>
        <v>0</v>
      </c>
      <c r="AL704" s="43" t="s">
        <v>13</v>
      </c>
      <c r="AQ704" s="41">
        <f t="shared" si="725"/>
        <v>0</v>
      </c>
      <c r="AR704" s="41">
        <f t="shared" si="726"/>
        <v>0</v>
      </c>
      <c r="AS704" s="41">
        <f t="shared" si="727"/>
        <v>0</v>
      </c>
      <c r="AT704" s="44" t="s">
        <v>2451</v>
      </c>
      <c r="AU704" s="44" t="s">
        <v>2484</v>
      </c>
      <c r="AV704" s="31" t="s">
        <v>2486</v>
      </c>
      <c r="AX704" s="41">
        <f t="shared" si="728"/>
        <v>0</v>
      </c>
      <c r="AY704" s="41">
        <f t="shared" si="729"/>
        <v>0</v>
      </c>
      <c r="AZ704" s="41">
        <v>0</v>
      </c>
      <c r="BA704" s="41">
        <f t="shared" si="730"/>
        <v>1.9199999999999998E-2</v>
      </c>
      <c r="BC704" s="22">
        <f t="shared" si="731"/>
        <v>0</v>
      </c>
      <c r="BD704" s="22">
        <f t="shared" si="732"/>
        <v>0</v>
      </c>
      <c r="BE704" s="22">
        <f t="shared" si="733"/>
        <v>0</v>
      </c>
      <c r="BF704" s="22" t="s">
        <v>1341</v>
      </c>
      <c r="BG704" s="41">
        <v>788</v>
      </c>
    </row>
    <row r="705" spans="1:59" x14ac:dyDescent="0.3">
      <c r="A705" s="6" t="s">
        <v>687</v>
      </c>
      <c r="B705" s="15"/>
      <c r="C705" s="15" t="s">
        <v>1294</v>
      </c>
      <c r="D705" s="107" t="s">
        <v>2092</v>
      </c>
      <c r="E705" s="108"/>
      <c r="F705" s="15" t="s">
        <v>2391</v>
      </c>
      <c r="G705" s="22">
        <v>2</v>
      </c>
      <c r="H705" s="21">
        <v>0</v>
      </c>
      <c r="I705" s="22">
        <f t="shared" si="708"/>
        <v>0</v>
      </c>
      <c r="J705" s="22">
        <f t="shared" si="709"/>
        <v>0</v>
      </c>
      <c r="K705" s="22">
        <f t="shared" si="710"/>
        <v>0</v>
      </c>
      <c r="L705" s="22">
        <v>5.0000000000000001E-4</v>
      </c>
      <c r="M705" s="22">
        <f t="shared" si="711"/>
        <v>1E-3</v>
      </c>
      <c r="N705" s="37" t="s">
        <v>2417</v>
      </c>
      <c r="O705" s="39"/>
      <c r="U705" s="41">
        <f t="shared" si="712"/>
        <v>0</v>
      </c>
      <c r="W705" s="41">
        <f t="shared" si="713"/>
        <v>0</v>
      </c>
      <c r="X705" s="41">
        <f t="shared" si="714"/>
        <v>0</v>
      </c>
      <c r="Y705" s="41">
        <f t="shared" si="715"/>
        <v>0</v>
      </c>
      <c r="Z705" s="41">
        <f t="shared" si="716"/>
        <v>0</v>
      </c>
      <c r="AA705" s="41">
        <f t="shared" si="717"/>
        <v>0</v>
      </c>
      <c r="AB705" s="41">
        <f t="shared" si="718"/>
        <v>0</v>
      </c>
      <c r="AC705" s="41">
        <f t="shared" si="719"/>
        <v>0</v>
      </c>
      <c r="AD705" s="31"/>
      <c r="AE705" s="22">
        <f t="shared" si="720"/>
        <v>0</v>
      </c>
      <c r="AF705" s="22">
        <f t="shared" si="721"/>
        <v>0</v>
      </c>
      <c r="AG705" s="22">
        <f t="shared" si="722"/>
        <v>0</v>
      </c>
      <c r="AI705" s="41">
        <v>21</v>
      </c>
      <c r="AJ705" s="41">
        <f t="shared" si="723"/>
        <v>0</v>
      </c>
      <c r="AK705" s="41">
        <f t="shared" si="724"/>
        <v>0</v>
      </c>
      <c r="AL705" s="43" t="s">
        <v>13</v>
      </c>
      <c r="AQ705" s="41">
        <f t="shared" si="725"/>
        <v>0</v>
      </c>
      <c r="AR705" s="41">
        <f t="shared" si="726"/>
        <v>0</v>
      </c>
      <c r="AS705" s="41">
        <f t="shared" si="727"/>
        <v>0</v>
      </c>
      <c r="AT705" s="44" t="s">
        <v>2451</v>
      </c>
      <c r="AU705" s="44" t="s">
        <v>2484</v>
      </c>
      <c r="AV705" s="31" t="s">
        <v>2486</v>
      </c>
      <c r="AX705" s="41">
        <f t="shared" si="728"/>
        <v>0</v>
      </c>
      <c r="AY705" s="41">
        <f t="shared" si="729"/>
        <v>0</v>
      </c>
      <c r="AZ705" s="41">
        <v>0</v>
      </c>
      <c r="BA705" s="41">
        <f t="shared" si="730"/>
        <v>1E-3</v>
      </c>
      <c r="BC705" s="22">
        <f t="shared" si="731"/>
        <v>0</v>
      </c>
      <c r="BD705" s="22">
        <f t="shared" si="732"/>
        <v>0</v>
      </c>
      <c r="BE705" s="22">
        <f t="shared" si="733"/>
        <v>0</v>
      </c>
      <c r="BF705" s="22" t="s">
        <v>1341</v>
      </c>
      <c r="BG705" s="41">
        <v>788</v>
      </c>
    </row>
    <row r="706" spans="1:59" x14ac:dyDescent="0.3">
      <c r="A706" s="6" t="s">
        <v>688</v>
      </c>
      <c r="B706" s="15"/>
      <c r="C706" s="15" t="s">
        <v>1295</v>
      </c>
      <c r="D706" s="107" t="s">
        <v>2093</v>
      </c>
      <c r="E706" s="108"/>
      <c r="F706" s="15" t="s">
        <v>2391</v>
      </c>
      <c r="G706" s="22">
        <v>15</v>
      </c>
      <c r="H706" s="21">
        <v>0</v>
      </c>
      <c r="I706" s="22">
        <f t="shared" si="708"/>
        <v>0</v>
      </c>
      <c r="J706" s="22">
        <f t="shared" si="709"/>
        <v>0</v>
      </c>
      <c r="K706" s="22">
        <f t="shared" si="710"/>
        <v>0</v>
      </c>
      <c r="L706" s="22">
        <v>4.4999999999999998E-2</v>
      </c>
      <c r="M706" s="22">
        <f t="shared" si="711"/>
        <v>0.67499999999999993</v>
      </c>
      <c r="N706" s="37" t="s">
        <v>2417</v>
      </c>
      <c r="O706" s="39"/>
      <c r="U706" s="41">
        <f t="shared" si="712"/>
        <v>0</v>
      </c>
      <c r="W706" s="41">
        <f t="shared" si="713"/>
        <v>0</v>
      </c>
      <c r="X706" s="41">
        <f t="shared" si="714"/>
        <v>0</v>
      </c>
      <c r="Y706" s="41">
        <f t="shared" si="715"/>
        <v>0</v>
      </c>
      <c r="Z706" s="41">
        <f t="shared" si="716"/>
        <v>0</v>
      </c>
      <c r="AA706" s="41">
        <f t="shared" si="717"/>
        <v>0</v>
      </c>
      <c r="AB706" s="41">
        <f t="shared" si="718"/>
        <v>0</v>
      </c>
      <c r="AC706" s="41">
        <f t="shared" si="719"/>
        <v>0</v>
      </c>
      <c r="AD706" s="31"/>
      <c r="AE706" s="22">
        <f t="shared" si="720"/>
        <v>0</v>
      </c>
      <c r="AF706" s="22">
        <f t="shared" si="721"/>
        <v>0</v>
      </c>
      <c r="AG706" s="22">
        <f t="shared" si="722"/>
        <v>0</v>
      </c>
      <c r="AI706" s="41">
        <v>21</v>
      </c>
      <c r="AJ706" s="41">
        <f t="shared" si="723"/>
        <v>0</v>
      </c>
      <c r="AK706" s="41">
        <f t="shared" si="724"/>
        <v>0</v>
      </c>
      <c r="AL706" s="43" t="s">
        <v>13</v>
      </c>
      <c r="AQ706" s="41">
        <f t="shared" si="725"/>
        <v>0</v>
      </c>
      <c r="AR706" s="41">
        <f t="shared" si="726"/>
        <v>0</v>
      </c>
      <c r="AS706" s="41">
        <f t="shared" si="727"/>
        <v>0</v>
      </c>
      <c r="AT706" s="44" t="s">
        <v>2451</v>
      </c>
      <c r="AU706" s="44" t="s">
        <v>2484</v>
      </c>
      <c r="AV706" s="31" t="s">
        <v>2486</v>
      </c>
      <c r="AX706" s="41">
        <f t="shared" si="728"/>
        <v>0</v>
      </c>
      <c r="AY706" s="41">
        <f t="shared" si="729"/>
        <v>0</v>
      </c>
      <c r="AZ706" s="41">
        <v>0</v>
      </c>
      <c r="BA706" s="41">
        <f t="shared" si="730"/>
        <v>0.67499999999999993</v>
      </c>
      <c r="BC706" s="22">
        <f t="shared" si="731"/>
        <v>0</v>
      </c>
      <c r="BD706" s="22">
        <f t="shared" si="732"/>
        <v>0</v>
      </c>
      <c r="BE706" s="22">
        <f t="shared" si="733"/>
        <v>0</v>
      </c>
      <c r="BF706" s="22" t="s">
        <v>1341</v>
      </c>
      <c r="BG706" s="41">
        <v>788</v>
      </c>
    </row>
    <row r="707" spans="1:59" x14ac:dyDescent="0.3">
      <c r="A707" s="6" t="s">
        <v>689</v>
      </c>
      <c r="B707" s="15"/>
      <c r="C707" s="15" t="s">
        <v>1295</v>
      </c>
      <c r="D707" s="107" t="s">
        <v>2094</v>
      </c>
      <c r="E707" s="108"/>
      <c r="F707" s="15" t="s">
        <v>2391</v>
      </c>
      <c r="G707" s="22">
        <v>2</v>
      </c>
      <c r="H707" s="21">
        <v>0</v>
      </c>
      <c r="I707" s="22">
        <f t="shared" si="708"/>
        <v>0</v>
      </c>
      <c r="J707" s="22">
        <f t="shared" si="709"/>
        <v>0</v>
      </c>
      <c r="K707" s="22">
        <f t="shared" si="710"/>
        <v>0</v>
      </c>
      <c r="L707" s="22">
        <v>0.01</v>
      </c>
      <c r="M707" s="22">
        <f t="shared" si="711"/>
        <v>0.02</v>
      </c>
      <c r="N707" s="37" t="s">
        <v>2417</v>
      </c>
      <c r="O707" s="39"/>
      <c r="U707" s="41">
        <f t="shared" si="712"/>
        <v>0</v>
      </c>
      <c r="W707" s="41">
        <f t="shared" si="713"/>
        <v>0</v>
      </c>
      <c r="X707" s="41">
        <f t="shared" si="714"/>
        <v>0</v>
      </c>
      <c r="Y707" s="41">
        <f t="shared" si="715"/>
        <v>0</v>
      </c>
      <c r="Z707" s="41">
        <f t="shared" si="716"/>
        <v>0</v>
      </c>
      <c r="AA707" s="41">
        <f t="shared" si="717"/>
        <v>0</v>
      </c>
      <c r="AB707" s="41">
        <f t="shared" si="718"/>
        <v>0</v>
      </c>
      <c r="AC707" s="41">
        <f t="shared" si="719"/>
        <v>0</v>
      </c>
      <c r="AD707" s="31"/>
      <c r="AE707" s="22">
        <f t="shared" si="720"/>
        <v>0</v>
      </c>
      <c r="AF707" s="22">
        <f t="shared" si="721"/>
        <v>0</v>
      </c>
      <c r="AG707" s="22">
        <f t="shared" si="722"/>
        <v>0</v>
      </c>
      <c r="AI707" s="41">
        <v>21</v>
      </c>
      <c r="AJ707" s="41">
        <f t="shared" si="723"/>
        <v>0</v>
      </c>
      <c r="AK707" s="41">
        <f t="shared" si="724"/>
        <v>0</v>
      </c>
      <c r="AL707" s="43" t="s">
        <v>13</v>
      </c>
      <c r="AQ707" s="41">
        <f t="shared" si="725"/>
        <v>0</v>
      </c>
      <c r="AR707" s="41">
        <f t="shared" si="726"/>
        <v>0</v>
      </c>
      <c r="AS707" s="41">
        <f t="shared" si="727"/>
        <v>0</v>
      </c>
      <c r="AT707" s="44" t="s">
        <v>2451</v>
      </c>
      <c r="AU707" s="44" t="s">
        <v>2484</v>
      </c>
      <c r="AV707" s="31" t="s">
        <v>2486</v>
      </c>
      <c r="AX707" s="41">
        <f t="shared" si="728"/>
        <v>0</v>
      </c>
      <c r="AY707" s="41">
        <f t="shared" si="729"/>
        <v>0</v>
      </c>
      <c r="AZ707" s="41">
        <v>0</v>
      </c>
      <c r="BA707" s="41">
        <f t="shared" si="730"/>
        <v>0.02</v>
      </c>
      <c r="BC707" s="22">
        <f t="shared" si="731"/>
        <v>0</v>
      </c>
      <c r="BD707" s="22">
        <f t="shared" si="732"/>
        <v>0</v>
      </c>
      <c r="BE707" s="22">
        <f t="shared" si="733"/>
        <v>0</v>
      </c>
      <c r="BF707" s="22" t="s">
        <v>1341</v>
      </c>
      <c r="BG707" s="41">
        <v>788</v>
      </c>
    </row>
    <row r="708" spans="1:59" ht="12.75" customHeight="1" x14ac:dyDescent="0.3">
      <c r="A708" s="6" t="s">
        <v>690</v>
      </c>
      <c r="B708" s="15"/>
      <c r="C708" s="15" t="s">
        <v>1295</v>
      </c>
      <c r="D708" s="107" t="s">
        <v>2095</v>
      </c>
      <c r="E708" s="107"/>
      <c r="F708" s="15" t="s">
        <v>2391</v>
      </c>
      <c r="G708" s="22">
        <v>1</v>
      </c>
      <c r="H708" s="21">
        <v>0</v>
      </c>
      <c r="I708" s="22">
        <f t="shared" si="708"/>
        <v>0</v>
      </c>
      <c r="J708" s="22">
        <f t="shared" si="709"/>
        <v>0</v>
      </c>
      <c r="K708" s="22">
        <f t="shared" si="710"/>
        <v>0</v>
      </c>
      <c r="L708" s="22">
        <v>1.4999999999999999E-2</v>
      </c>
      <c r="M708" s="22">
        <f t="shared" si="711"/>
        <v>1.4999999999999999E-2</v>
      </c>
      <c r="N708" s="37" t="s">
        <v>2417</v>
      </c>
      <c r="O708" s="39"/>
      <c r="U708" s="41">
        <f t="shared" si="712"/>
        <v>0</v>
      </c>
      <c r="W708" s="41">
        <f t="shared" si="713"/>
        <v>0</v>
      </c>
      <c r="X708" s="41">
        <f t="shared" si="714"/>
        <v>0</v>
      </c>
      <c r="Y708" s="41">
        <f t="shared" si="715"/>
        <v>0</v>
      </c>
      <c r="Z708" s="41">
        <f t="shared" si="716"/>
        <v>0</v>
      </c>
      <c r="AA708" s="41">
        <f t="shared" si="717"/>
        <v>0</v>
      </c>
      <c r="AB708" s="41">
        <f t="shared" si="718"/>
        <v>0</v>
      </c>
      <c r="AC708" s="41">
        <f t="shared" si="719"/>
        <v>0</v>
      </c>
      <c r="AD708" s="31"/>
      <c r="AE708" s="22">
        <f t="shared" si="720"/>
        <v>0</v>
      </c>
      <c r="AF708" s="22">
        <f t="shared" si="721"/>
        <v>0</v>
      </c>
      <c r="AG708" s="22">
        <f t="shared" si="722"/>
        <v>0</v>
      </c>
      <c r="AI708" s="41">
        <v>21</v>
      </c>
      <c r="AJ708" s="41">
        <f t="shared" si="723"/>
        <v>0</v>
      </c>
      <c r="AK708" s="41">
        <f t="shared" si="724"/>
        <v>0</v>
      </c>
      <c r="AL708" s="43" t="s">
        <v>13</v>
      </c>
      <c r="AQ708" s="41">
        <f t="shared" si="725"/>
        <v>0</v>
      </c>
      <c r="AR708" s="41">
        <f t="shared" si="726"/>
        <v>0</v>
      </c>
      <c r="AS708" s="41">
        <f t="shared" si="727"/>
        <v>0</v>
      </c>
      <c r="AT708" s="44" t="s">
        <v>2451</v>
      </c>
      <c r="AU708" s="44" t="s">
        <v>2484</v>
      </c>
      <c r="AV708" s="31" t="s">
        <v>2486</v>
      </c>
      <c r="AX708" s="41">
        <f t="shared" si="728"/>
        <v>0</v>
      </c>
      <c r="AY708" s="41">
        <f t="shared" si="729"/>
        <v>0</v>
      </c>
      <c r="AZ708" s="41">
        <v>0</v>
      </c>
      <c r="BA708" s="41">
        <f t="shared" si="730"/>
        <v>1.4999999999999999E-2</v>
      </c>
      <c r="BC708" s="22">
        <f t="shared" si="731"/>
        <v>0</v>
      </c>
      <c r="BD708" s="22">
        <f t="shared" si="732"/>
        <v>0</v>
      </c>
      <c r="BE708" s="22">
        <f t="shared" si="733"/>
        <v>0</v>
      </c>
      <c r="BF708" s="22" t="s">
        <v>1341</v>
      </c>
      <c r="BG708" s="41">
        <v>788</v>
      </c>
    </row>
    <row r="709" spans="1:59" ht="12.75" customHeight="1" x14ac:dyDescent="0.3">
      <c r="A709" s="6" t="s">
        <v>2720</v>
      </c>
      <c r="B709" s="15"/>
      <c r="C709" s="15" t="s">
        <v>1295</v>
      </c>
      <c r="D709" s="107" t="s">
        <v>2095</v>
      </c>
      <c r="E709" s="107"/>
      <c r="F709" s="15" t="s">
        <v>2391</v>
      </c>
      <c r="G709" s="22">
        <v>4</v>
      </c>
      <c r="H709" s="21">
        <v>0</v>
      </c>
      <c r="I709" s="22">
        <f t="shared" si="708"/>
        <v>0</v>
      </c>
      <c r="J709" s="22">
        <f t="shared" si="709"/>
        <v>0</v>
      </c>
      <c r="K709" s="22">
        <f>G709*H709</f>
        <v>0</v>
      </c>
      <c r="L709" s="22">
        <v>1.4999999999999999E-2</v>
      </c>
      <c r="M709" s="22">
        <f>G709*L709</f>
        <v>0.06</v>
      </c>
      <c r="N709" s="37" t="s">
        <v>2417</v>
      </c>
      <c r="O709" s="39"/>
      <c r="U709" s="41">
        <f>IF(AL709="5",BE709,0)</f>
        <v>0</v>
      </c>
      <c r="W709" s="41">
        <f>IF(AL709="1",BC709,0)</f>
        <v>0</v>
      </c>
      <c r="X709" s="41">
        <f>IF(AL709="1",BD709,0)</f>
        <v>0</v>
      </c>
      <c r="Y709" s="41">
        <f>IF(AL709="7",BC709,0)</f>
        <v>0</v>
      </c>
      <c r="Z709" s="41">
        <f>IF(AL709="7",BD709,0)</f>
        <v>0</v>
      </c>
      <c r="AA709" s="41">
        <f>IF(AL709="2",BC709,0)</f>
        <v>0</v>
      </c>
      <c r="AB709" s="41">
        <f>IF(AL709="2",BD709,0)</f>
        <v>0</v>
      </c>
      <c r="AC709" s="41">
        <f>IF(AL709="0",BE709,0)</f>
        <v>0</v>
      </c>
      <c r="AD709" s="31"/>
      <c r="AE709" s="22">
        <f t="shared" si="720"/>
        <v>0</v>
      </c>
      <c r="AF709" s="22">
        <f t="shared" si="721"/>
        <v>0</v>
      </c>
      <c r="AG709" s="22">
        <f t="shared" si="722"/>
        <v>0</v>
      </c>
      <c r="AI709" s="41">
        <v>21</v>
      </c>
      <c r="AJ709" s="41">
        <f t="shared" si="723"/>
        <v>0</v>
      </c>
      <c r="AK709" s="41">
        <f t="shared" si="724"/>
        <v>0</v>
      </c>
      <c r="AL709" s="43" t="s">
        <v>13</v>
      </c>
      <c r="AQ709" s="41">
        <f>AR709+AS709</f>
        <v>0</v>
      </c>
      <c r="AR709" s="41">
        <f t="shared" si="726"/>
        <v>0</v>
      </c>
      <c r="AS709" s="41">
        <f t="shared" si="727"/>
        <v>0</v>
      </c>
      <c r="AT709" s="44" t="s">
        <v>2451</v>
      </c>
      <c r="AU709" s="44" t="s">
        <v>2484</v>
      </c>
      <c r="AV709" s="31" t="s">
        <v>2486</v>
      </c>
      <c r="AX709" s="41">
        <f>AR709+AS709</f>
        <v>0</v>
      </c>
      <c r="AY709" s="41">
        <f t="shared" si="729"/>
        <v>0</v>
      </c>
      <c r="AZ709" s="41">
        <v>0</v>
      </c>
      <c r="BA709" s="41">
        <f t="shared" si="730"/>
        <v>0.06</v>
      </c>
      <c r="BC709" s="22">
        <f t="shared" si="731"/>
        <v>0</v>
      </c>
      <c r="BD709" s="22">
        <f t="shared" si="732"/>
        <v>0</v>
      </c>
      <c r="BE709" s="22">
        <f t="shared" si="733"/>
        <v>0</v>
      </c>
      <c r="BF709" s="22" t="s">
        <v>1341</v>
      </c>
      <c r="BG709" s="41">
        <v>788</v>
      </c>
    </row>
    <row r="710" spans="1:59" x14ac:dyDescent="0.3">
      <c r="A710" s="6" t="s">
        <v>691</v>
      </c>
      <c r="B710" s="15"/>
      <c r="C710" s="15" t="s">
        <v>1296</v>
      </c>
      <c r="D710" s="107" t="s">
        <v>2096</v>
      </c>
      <c r="E710" s="108"/>
      <c r="F710" s="15" t="s">
        <v>2391</v>
      </c>
      <c r="G710" s="22">
        <v>4</v>
      </c>
      <c r="H710" s="21">
        <v>0</v>
      </c>
      <c r="I710" s="22">
        <f t="shared" si="708"/>
        <v>0</v>
      </c>
      <c r="J710" s="22">
        <f t="shared" si="709"/>
        <v>0</v>
      </c>
      <c r="K710" s="22">
        <f t="shared" si="710"/>
        <v>0</v>
      </c>
      <c r="L710" s="22">
        <v>0.01</v>
      </c>
      <c r="M710" s="22">
        <f t="shared" si="711"/>
        <v>0.04</v>
      </c>
      <c r="N710" s="37" t="s">
        <v>2417</v>
      </c>
      <c r="O710" s="39"/>
      <c r="U710" s="41">
        <f t="shared" si="712"/>
        <v>0</v>
      </c>
      <c r="W710" s="41">
        <f t="shared" si="713"/>
        <v>0</v>
      </c>
      <c r="X710" s="41">
        <f t="shared" si="714"/>
        <v>0</v>
      </c>
      <c r="Y710" s="41">
        <f t="shared" si="715"/>
        <v>0</v>
      </c>
      <c r="Z710" s="41">
        <f t="shared" si="716"/>
        <v>0</v>
      </c>
      <c r="AA710" s="41">
        <f t="shared" si="717"/>
        <v>0</v>
      </c>
      <c r="AB710" s="41">
        <f t="shared" si="718"/>
        <v>0</v>
      </c>
      <c r="AC710" s="41">
        <f t="shared" si="719"/>
        <v>0</v>
      </c>
      <c r="AD710" s="31"/>
      <c r="AE710" s="22">
        <f t="shared" si="720"/>
        <v>0</v>
      </c>
      <c r="AF710" s="22">
        <f t="shared" si="721"/>
        <v>0</v>
      </c>
      <c r="AG710" s="22">
        <f t="shared" si="722"/>
        <v>0</v>
      </c>
      <c r="AI710" s="41">
        <v>21</v>
      </c>
      <c r="AJ710" s="41">
        <f t="shared" si="723"/>
        <v>0</v>
      </c>
      <c r="AK710" s="41">
        <f t="shared" si="724"/>
        <v>0</v>
      </c>
      <c r="AL710" s="43" t="s">
        <v>13</v>
      </c>
      <c r="AQ710" s="41">
        <f t="shared" si="725"/>
        <v>0</v>
      </c>
      <c r="AR710" s="41">
        <f t="shared" si="726"/>
        <v>0</v>
      </c>
      <c r="AS710" s="41">
        <f t="shared" si="727"/>
        <v>0</v>
      </c>
      <c r="AT710" s="44" t="s">
        <v>2451</v>
      </c>
      <c r="AU710" s="44" t="s">
        <v>2484</v>
      </c>
      <c r="AV710" s="31" t="s">
        <v>2486</v>
      </c>
      <c r="AX710" s="41">
        <f t="shared" si="728"/>
        <v>0</v>
      </c>
      <c r="AY710" s="41">
        <f t="shared" si="729"/>
        <v>0</v>
      </c>
      <c r="AZ710" s="41">
        <v>0</v>
      </c>
      <c r="BA710" s="41">
        <f t="shared" si="730"/>
        <v>0.04</v>
      </c>
      <c r="BC710" s="22">
        <f t="shared" si="731"/>
        <v>0</v>
      </c>
      <c r="BD710" s="22">
        <f t="shared" si="732"/>
        <v>0</v>
      </c>
      <c r="BE710" s="22">
        <f t="shared" si="733"/>
        <v>0</v>
      </c>
      <c r="BF710" s="22" t="s">
        <v>1341</v>
      </c>
      <c r="BG710" s="41">
        <v>788</v>
      </c>
    </row>
    <row r="711" spans="1:59" x14ac:dyDescent="0.3">
      <c r="A711" s="6" t="s">
        <v>692</v>
      </c>
      <c r="B711" s="15"/>
      <c r="C711" s="15" t="s">
        <v>1297</v>
      </c>
      <c r="D711" s="107" t="s">
        <v>2097</v>
      </c>
      <c r="E711" s="108"/>
      <c r="F711" s="15" t="s">
        <v>2391</v>
      </c>
      <c r="G711" s="22">
        <v>3</v>
      </c>
      <c r="H711" s="21">
        <v>0</v>
      </c>
      <c r="I711" s="22">
        <f t="shared" si="708"/>
        <v>0</v>
      </c>
      <c r="J711" s="22">
        <f t="shared" si="709"/>
        <v>0</v>
      </c>
      <c r="K711" s="22">
        <f t="shared" si="710"/>
        <v>0</v>
      </c>
      <c r="L711" s="22">
        <v>8.9999999999999993E-3</v>
      </c>
      <c r="M711" s="22">
        <f t="shared" si="711"/>
        <v>2.6999999999999996E-2</v>
      </c>
      <c r="N711" s="37" t="s">
        <v>2417</v>
      </c>
      <c r="O711" s="39"/>
      <c r="U711" s="41">
        <f t="shared" si="712"/>
        <v>0</v>
      </c>
      <c r="W711" s="41">
        <f t="shared" si="713"/>
        <v>0</v>
      </c>
      <c r="X711" s="41">
        <f t="shared" si="714"/>
        <v>0</v>
      </c>
      <c r="Y711" s="41">
        <f t="shared" si="715"/>
        <v>0</v>
      </c>
      <c r="Z711" s="41">
        <f t="shared" si="716"/>
        <v>0</v>
      </c>
      <c r="AA711" s="41">
        <f t="shared" si="717"/>
        <v>0</v>
      </c>
      <c r="AB711" s="41">
        <f t="shared" si="718"/>
        <v>0</v>
      </c>
      <c r="AC711" s="41">
        <f t="shared" si="719"/>
        <v>0</v>
      </c>
      <c r="AD711" s="31"/>
      <c r="AE711" s="22">
        <f t="shared" si="720"/>
        <v>0</v>
      </c>
      <c r="AF711" s="22">
        <f t="shared" si="721"/>
        <v>0</v>
      </c>
      <c r="AG711" s="22">
        <f t="shared" si="722"/>
        <v>0</v>
      </c>
      <c r="AI711" s="41">
        <v>21</v>
      </c>
      <c r="AJ711" s="41">
        <f t="shared" si="723"/>
        <v>0</v>
      </c>
      <c r="AK711" s="41">
        <f t="shared" si="724"/>
        <v>0</v>
      </c>
      <c r="AL711" s="43" t="s">
        <v>13</v>
      </c>
      <c r="AQ711" s="41">
        <f t="shared" si="725"/>
        <v>0</v>
      </c>
      <c r="AR711" s="41">
        <f t="shared" si="726"/>
        <v>0</v>
      </c>
      <c r="AS711" s="41">
        <f t="shared" si="727"/>
        <v>0</v>
      </c>
      <c r="AT711" s="44" t="s">
        <v>2451</v>
      </c>
      <c r="AU711" s="44" t="s">
        <v>2484</v>
      </c>
      <c r="AV711" s="31" t="s">
        <v>2486</v>
      </c>
      <c r="AX711" s="41">
        <f t="shared" si="728"/>
        <v>0</v>
      </c>
      <c r="AY711" s="41">
        <f t="shared" si="729"/>
        <v>0</v>
      </c>
      <c r="AZ711" s="41">
        <v>0</v>
      </c>
      <c r="BA711" s="41">
        <f t="shared" si="730"/>
        <v>2.6999999999999996E-2</v>
      </c>
      <c r="BC711" s="22">
        <f t="shared" si="731"/>
        <v>0</v>
      </c>
      <c r="BD711" s="22">
        <f t="shared" si="732"/>
        <v>0</v>
      </c>
      <c r="BE711" s="22">
        <f t="shared" si="733"/>
        <v>0</v>
      </c>
      <c r="BF711" s="22" t="s">
        <v>1341</v>
      </c>
      <c r="BG711" s="41">
        <v>788</v>
      </c>
    </row>
    <row r="712" spans="1:59" x14ac:dyDescent="0.3">
      <c r="A712" s="6" t="s">
        <v>2721</v>
      </c>
      <c r="B712" s="15"/>
      <c r="C712" s="15" t="s">
        <v>1297</v>
      </c>
      <c r="D712" s="107" t="s">
        <v>2097</v>
      </c>
      <c r="E712" s="107"/>
      <c r="F712" s="15" t="s">
        <v>2391</v>
      </c>
      <c r="G712" s="22">
        <v>9</v>
      </c>
      <c r="H712" s="21">
        <v>0</v>
      </c>
      <c r="I712" s="22">
        <f t="shared" si="708"/>
        <v>0</v>
      </c>
      <c r="J712" s="22">
        <f t="shared" si="709"/>
        <v>0</v>
      </c>
      <c r="K712" s="22">
        <f>G712*H712</f>
        <v>0</v>
      </c>
      <c r="L712" s="22">
        <v>8.9999999999999993E-3</v>
      </c>
      <c r="M712" s="22">
        <f>G712*L712</f>
        <v>8.0999999999999989E-2</v>
      </c>
      <c r="N712" s="37" t="s">
        <v>2417</v>
      </c>
      <c r="O712" s="39"/>
      <c r="U712" s="41">
        <f>IF(AL712="5",BE712,0)</f>
        <v>0</v>
      </c>
      <c r="W712" s="41">
        <f>IF(AL712="1",BC712,0)</f>
        <v>0</v>
      </c>
      <c r="X712" s="41">
        <f>IF(AL712="1",BD712,0)</f>
        <v>0</v>
      </c>
      <c r="Y712" s="41">
        <f>IF(AL712="7",BC712,0)</f>
        <v>0</v>
      </c>
      <c r="Z712" s="41">
        <f>IF(AL712="7",BD712,0)</f>
        <v>0</v>
      </c>
      <c r="AA712" s="41">
        <f>IF(AL712="2",BC712,0)</f>
        <v>0</v>
      </c>
      <c r="AB712" s="41">
        <f>IF(AL712="2",BD712,0)</f>
        <v>0</v>
      </c>
      <c r="AC712" s="41">
        <f>IF(AL712="0",BE712,0)</f>
        <v>0</v>
      </c>
      <c r="AD712" s="31"/>
      <c r="AE712" s="22">
        <f t="shared" si="720"/>
        <v>0</v>
      </c>
      <c r="AF712" s="22">
        <f t="shared" si="721"/>
        <v>0</v>
      </c>
      <c r="AG712" s="22">
        <f t="shared" si="722"/>
        <v>0</v>
      </c>
      <c r="AI712" s="41">
        <v>21</v>
      </c>
      <c r="AJ712" s="41">
        <f t="shared" si="723"/>
        <v>0</v>
      </c>
      <c r="AK712" s="41">
        <f t="shared" si="724"/>
        <v>0</v>
      </c>
      <c r="AL712" s="43" t="s">
        <v>13</v>
      </c>
      <c r="AQ712" s="41">
        <f>AR712+AS712</f>
        <v>0</v>
      </c>
      <c r="AR712" s="41">
        <f t="shared" si="726"/>
        <v>0</v>
      </c>
      <c r="AS712" s="41">
        <f t="shared" si="727"/>
        <v>0</v>
      </c>
      <c r="AT712" s="44" t="s">
        <v>2451</v>
      </c>
      <c r="AU712" s="44" t="s">
        <v>2484</v>
      </c>
      <c r="AV712" s="31" t="s">
        <v>2486</v>
      </c>
      <c r="AX712" s="41">
        <f>AR712+AS712</f>
        <v>0</v>
      </c>
      <c r="AY712" s="41">
        <f t="shared" si="729"/>
        <v>0</v>
      </c>
      <c r="AZ712" s="41">
        <v>0</v>
      </c>
      <c r="BA712" s="41">
        <f t="shared" si="730"/>
        <v>8.0999999999999989E-2</v>
      </c>
      <c r="BC712" s="22">
        <f t="shared" si="731"/>
        <v>0</v>
      </c>
      <c r="BD712" s="22">
        <f t="shared" si="732"/>
        <v>0</v>
      </c>
      <c r="BE712" s="22">
        <f t="shared" si="733"/>
        <v>0</v>
      </c>
      <c r="BF712" s="22" t="s">
        <v>1341</v>
      </c>
      <c r="BG712" s="41">
        <v>788</v>
      </c>
    </row>
    <row r="713" spans="1:59" x14ac:dyDescent="0.3">
      <c r="A713" s="6" t="s">
        <v>693</v>
      </c>
      <c r="B713" s="15"/>
      <c r="C713" s="15" t="s">
        <v>1298</v>
      </c>
      <c r="D713" s="107" t="s">
        <v>2098</v>
      </c>
      <c r="E713" s="108"/>
      <c r="F713" s="15" t="s">
        <v>2391</v>
      </c>
      <c r="G713" s="22">
        <v>1</v>
      </c>
      <c r="H713" s="21">
        <v>0</v>
      </c>
      <c r="I713" s="22">
        <f t="shared" si="708"/>
        <v>0</v>
      </c>
      <c r="J713" s="22">
        <f t="shared" si="709"/>
        <v>0</v>
      </c>
      <c r="K713" s="22">
        <f t="shared" si="710"/>
        <v>0</v>
      </c>
      <c r="L713" s="22">
        <v>0.02</v>
      </c>
      <c r="M713" s="22">
        <f t="shared" si="711"/>
        <v>0.02</v>
      </c>
      <c r="N713" s="37" t="s">
        <v>2417</v>
      </c>
      <c r="O713" s="39"/>
      <c r="U713" s="41">
        <f t="shared" si="712"/>
        <v>0</v>
      </c>
      <c r="W713" s="41">
        <f t="shared" si="713"/>
        <v>0</v>
      </c>
      <c r="X713" s="41">
        <f t="shared" si="714"/>
        <v>0</v>
      </c>
      <c r="Y713" s="41">
        <f t="shared" si="715"/>
        <v>0</v>
      </c>
      <c r="Z713" s="41">
        <f t="shared" si="716"/>
        <v>0</v>
      </c>
      <c r="AA713" s="41">
        <f t="shared" si="717"/>
        <v>0</v>
      </c>
      <c r="AB713" s="41">
        <f t="shared" si="718"/>
        <v>0</v>
      </c>
      <c r="AC713" s="41">
        <f t="shared" si="719"/>
        <v>0</v>
      </c>
      <c r="AD713" s="31"/>
      <c r="AE713" s="22">
        <f t="shared" si="720"/>
        <v>0</v>
      </c>
      <c r="AF713" s="22">
        <f t="shared" si="721"/>
        <v>0</v>
      </c>
      <c r="AG713" s="22">
        <f t="shared" si="722"/>
        <v>0</v>
      </c>
      <c r="AI713" s="41">
        <v>21</v>
      </c>
      <c r="AJ713" s="41">
        <f t="shared" si="723"/>
        <v>0</v>
      </c>
      <c r="AK713" s="41">
        <f t="shared" si="724"/>
        <v>0</v>
      </c>
      <c r="AL713" s="43" t="s">
        <v>13</v>
      </c>
      <c r="AQ713" s="41">
        <f t="shared" si="725"/>
        <v>0</v>
      </c>
      <c r="AR713" s="41">
        <f t="shared" si="726"/>
        <v>0</v>
      </c>
      <c r="AS713" s="41">
        <f t="shared" si="727"/>
        <v>0</v>
      </c>
      <c r="AT713" s="44" t="s">
        <v>2451</v>
      </c>
      <c r="AU713" s="44" t="s">
        <v>2484</v>
      </c>
      <c r="AV713" s="31" t="s">
        <v>2486</v>
      </c>
      <c r="AX713" s="41">
        <f t="shared" si="728"/>
        <v>0</v>
      </c>
      <c r="AY713" s="41">
        <f t="shared" si="729"/>
        <v>0</v>
      </c>
      <c r="AZ713" s="41">
        <v>0</v>
      </c>
      <c r="BA713" s="41">
        <f t="shared" si="730"/>
        <v>0.02</v>
      </c>
      <c r="BC713" s="22">
        <f t="shared" si="731"/>
        <v>0</v>
      </c>
      <c r="BD713" s="22">
        <f t="shared" si="732"/>
        <v>0</v>
      </c>
      <c r="BE713" s="22">
        <f t="shared" si="733"/>
        <v>0</v>
      </c>
      <c r="BF713" s="22" t="s">
        <v>1341</v>
      </c>
      <c r="BG713" s="41">
        <v>788</v>
      </c>
    </row>
    <row r="714" spans="1:59" ht="12.75" customHeight="1" x14ac:dyDescent="0.3">
      <c r="A714" s="6" t="s">
        <v>694</v>
      </c>
      <c r="B714" s="15"/>
      <c r="C714" s="15" t="s">
        <v>1299</v>
      </c>
      <c r="D714" s="107" t="s">
        <v>2099</v>
      </c>
      <c r="E714" s="108"/>
      <c r="F714" s="15" t="s">
        <v>2385</v>
      </c>
      <c r="G714" s="22">
        <v>46.2</v>
      </c>
      <c r="H714" s="21">
        <v>0</v>
      </c>
      <c r="I714" s="22">
        <f t="shared" si="708"/>
        <v>0</v>
      </c>
      <c r="J714" s="22">
        <f t="shared" si="709"/>
        <v>0</v>
      </c>
      <c r="K714" s="22">
        <f t="shared" si="710"/>
        <v>0</v>
      </c>
      <c r="L714" s="22">
        <v>3.0000000000000001E-3</v>
      </c>
      <c r="M714" s="22">
        <f t="shared" si="711"/>
        <v>0.1386</v>
      </c>
      <c r="N714" s="37" t="s">
        <v>2417</v>
      </c>
      <c r="O714" s="39"/>
      <c r="U714" s="41">
        <f t="shared" si="712"/>
        <v>0</v>
      </c>
      <c r="W714" s="41">
        <f t="shared" si="713"/>
        <v>0</v>
      </c>
      <c r="X714" s="41">
        <f t="shared" si="714"/>
        <v>0</v>
      </c>
      <c r="Y714" s="41">
        <f t="shared" si="715"/>
        <v>0</v>
      </c>
      <c r="Z714" s="41">
        <f t="shared" si="716"/>
        <v>0</v>
      </c>
      <c r="AA714" s="41">
        <f t="shared" si="717"/>
        <v>0</v>
      </c>
      <c r="AB714" s="41">
        <f t="shared" si="718"/>
        <v>0</v>
      </c>
      <c r="AC714" s="41">
        <f t="shared" si="719"/>
        <v>0</v>
      </c>
      <c r="AD714" s="31"/>
      <c r="AE714" s="22">
        <f t="shared" si="720"/>
        <v>0</v>
      </c>
      <c r="AF714" s="22">
        <f t="shared" si="721"/>
        <v>0</v>
      </c>
      <c r="AG714" s="22">
        <f t="shared" si="722"/>
        <v>0</v>
      </c>
      <c r="AI714" s="41">
        <v>21</v>
      </c>
      <c r="AJ714" s="41">
        <f t="shared" si="723"/>
        <v>0</v>
      </c>
      <c r="AK714" s="41">
        <f t="shared" si="724"/>
        <v>0</v>
      </c>
      <c r="AL714" s="43" t="s">
        <v>13</v>
      </c>
      <c r="AQ714" s="41">
        <f t="shared" si="725"/>
        <v>0</v>
      </c>
      <c r="AR714" s="41">
        <f t="shared" si="726"/>
        <v>0</v>
      </c>
      <c r="AS714" s="41">
        <f t="shared" si="727"/>
        <v>0</v>
      </c>
      <c r="AT714" s="44" t="s">
        <v>2451</v>
      </c>
      <c r="AU714" s="44" t="s">
        <v>2484</v>
      </c>
      <c r="AV714" s="31" t="s">
        <v>2486</v>
      </c>
      <c r="AX714" s="41">
        <f t="shared" si="728"/>
        <v>0</v>
      </c>
      <c r="AY714" s="41">
        <f t="shared" si="729"/>
        <v>0</v>
      </c>
      <c r="AZ714" s="41">
        <v>0</v>
      </c>
      <c r="BA714" s="41">
        <f t="shared" si="730"/>
        <v>0.1386</v>
      </c>
      <c r="BC714" s="22">
        <f t="shared" si="731"/>
        <v>0</v>
      </c>
      <c r="BD714" s="22">
        <f t="shared" si="732"/>
        <v>0</v>
      </c>
      <c r="BE714" s="22">
        <f t="shared" si="733"/>
        <v>0</v>
      </c>
      <c r="BF714" s="22" t="s">
        <v>1341</v>
      </c>
      <c r="BG714" s="41">
        <v>788</v>
      </c>
    </row>
    <row r="715" spans="1:59" x14ac:dyDescent="0.3">
      <c r="A715" s="6" t="s">
        <v>695</v>
      </c>
      <c r="B715" s="15"/>
      <c r="C715" s="15" t="s">
        <v>1300</v>
      </c>
      <c r="D715" s="107" t="s">
        <v>2100</v>
      </c>
      <c r="E715" s="108"/>
      <c r="F715" s="15" t="s">
        <v>2385</v>
      </c>
      <c r="G715" s="22">
        <v>7</v>
      </c>
      <c r="H715" s="21">
        <v>0</v>
      </c>
      <c r="I715" s="22">
        <f t="shared" si="708"/>
        <v>0</v>
      </c>
      <c r="J715" s="22">
        <f t="shared" si="709"/>
        <v>0</v>
      </c>
      <c r="K715" s="22">
        <f t="shared" si="710"/>
        <v>0</v>
      </c>
      <c r="L715" s="22">
        <v>4.0000000000000001E-3</v>
      </c>
      <c r="M715" s="22">
        <f t="shared" si="711"/>
        <v>2.8000000000000001E-2</v>
      </c>
      <c r="N715" s="37" t="s">
        <v>2417</v>
      </c>
      <c r="O715" s="39"/>
      <c r="U715" s="41">
        <f t="shared" si="712"/>
        <v>0</v>
      </c>
      <c r="W715" s="41">
        <f t="shared" si="713"/>
        <v>0</v>
      </c>
      <c r="X715" s="41">
        <f t="shared" si="714"/>
        <v>0</v>
      </c>
      <c r="Y715" s="41">
        <f t="shared" si="715"/>
        <v>0</v>
      </c>
      <c r="Z715" s="41">
        <f t="shared" si="716"/>
        <v>0</v>
      </c>
      <c r="AA715" s="41">
        <f t="shared" si="717"/>
        <v>0</v>
      </c>
      <c r="AB715" s="41">
        <f t="shared" si="718"/>
        <v>0</v>
      </c>
      <c r="AC715" s="41">
        <f t="shared" si="719"/>
        <v>0</v>
      </c>
      <c r="AD715" s="31"/>
      <c r="AE715" s="22">
        <f t="shared" si="720"/>
        <v>0</v>
      </c>
      <c r="AF715" s="22">
        <f t="shared" si="721"/>
        <v>0</v>
      </c>
      <c r="AG715" s="22">
        <f t="shared" si="722"/>
        <v>0</v>
      </c>
      <c r="AI715" s="41">
        <v>21</v>
      </c>
      <c r="AJ715" s="41">
        <f t="shared" si="723"/>
        <v>0</v>
      </c>
      <c r="AK715" s="41">
        <f t="shared" si="724"/>
        <v>0</v>
      </c>
      <c r="AL715" s="43" t="s">
        <v>13</v>
      </c>
      <c r="AQ715" s="41">
        <f t="shared" si="725"/>
        <v>0</v>
      </c>
      <c r="AR715" s="41">
        <f t="shared" si="726"/>
        <v>0</v>
      </c>
      <c r="AS715" s="41">
        <f t="shared" si="727"/>
        <v>0</v>
      </c>
      <c r="AT715" s="44" t="s">
        <v>2451</v>
      </c>
      <c r="AU715" s="44" t="s">
        <v>2484</v>
      </c>
      <c r="AV715" s="31" t="s">
        <v>2486</v>
      </c>
      <c r="AX715" s="41">
        <f t="shared" si="728"/>
        <v>0</v>
      </c>
      <c r="AY715" s="41">
        <f t="shared" si="729"/>
        <v>0</v>
      </c>
      <c r="AZ715" s="41">
        <v>0</v>
      </c>
      <c r="BA715" s="41">
        <f t="shared" si="730"/>
        <v>2.8000000000000001E-2</v>
      </c>
      <c r="BC715" s="22">
        <f t="shared" si="731"/>
        <v>0</v>
      </c>
      <c r="BD715" s="22">
        <f t="shared" si="732"/>
        <v>0</v>
      </c>
      <c r="BE715" s="22">
        <f t="shared" si="733"/>
        <v>0</v>
      </c>
      <c r="BF715" s="22" t="s">
        <v>1341</v>
      </c>
      <c r="BG715" s="41">
        <v>788</v>
      </c>
    </row>
    <row r="716" spans="1:59" x14ac:dyDescent="0.3">
      <c r="A716" s="6" t="s">
        <v>696</v>
      </c>
      <c r="B716" s="15"/>
      <c r="C716" s="15" t="s">
        <v>1301</v>
      </c>
      <c r="D716" s="107" t="s">
        <v>2101</v>
      </c>
      <c r="E716" s="108"/>
      <c r="F716" s="15" t="s">
        <v>2385</v>
      </c>
      <c r="G716" s="22">
        <v>6</v>
      </c>
      <c r="H716" s="21">
        <v>0</v>
      </c>
      <c r="I716" s="22">
        <f t="shared" si="708"/>
        <v>0</v>
      </c>
      <c r="J716" s="22">
        <f t="shared" si="709"/>
        <v>0</v>
      </c>
      <c r="K716" s="22">
        <f t="shared" si="710"/>
        <v>0</v>
      </c>
      <c r="L716" s="22">
        <v>4.4999999999999997E-3</v>
      </c>
      <c r="M716" s="22">
        <f t="shared" si="711"/>
        <v>2.6999999999999996E-2</v>
      </c>
      <c r="N716" s="37" t="s">
        <v>2417</v>
      </c>
      <c r="O716" s="39"/>
      <c r="U716" s="41">
        <f t="shared" si="712"/>
        <v>0</v>
      </c>
      <c r="W716" s="41">
        <f t="shared" si="713"/>
        <v>0</v>
      </c>
      <c r="X716" s="41">
        <f t="shared" si="714"/>
        <v>0</v>
      </c>
      <c r="Y716" s="41">
        <f t="shared" si="715"/>
        <v>0</v>
      </c>
      <c r="Z716" s="41">
        <f t="shared" si="716"/>
        <v>0</v>
      </c>
      <c r="AA716" s="41">
        <f t="shared" si="717"/>
        <v>0</v>
      </c>
      <c r="AB716" s="41">
        <f t="shared" si="718"/>
        <v>0</v>
      </c>
      <c r="AC716" s="41">
        <f t="shared" si="719"/>
        <v>0</v>
      </c>
      <c r="AD716" s="31"/>
      <c r="AE716" s="22">
        <f t="shared" si="720"/>
        <v>0</v>
      </c>
      <c r="AF716" s="22">
        <f t="shared" si="721"/>
        <v>0</v>
      </c>
      <c r="AG716" s="22">
        <f t="shared" si="722"/>
        <v>0</v>
      </c>
      <c r="AI716" s="41">
        <v>21</v>
      </c>
      <c r="AJ716" s="41">
        <f t="shared" si="723"/>
        <v>0</v>
      </c>
      <c r="AK716" s="41">
        <f t="shared" si="724"/>
        <v>0</v>
      </c>
      <c r="AL716" s="43" t="s">
        <v>13</v>
      </c>
      <c r="AQ716" s="41">
        <f t="shared" si="725"/>
        <v>0</v>
      </c>
      <c r="AR716" s="41">
        <f t="shared" si="726"/>
        <v>0</v>
      </c>
      <c r="AS716" s="41">
        <f t="shared" si="727"/>
        <v>0</v>
      </c>
      <c r="AT716" s="44" t="s">
        <v>2451</v>
      </c>
      <c r="AU716" s="44" t="s">
        <v>2484</v>
      </c>
      <c r="AV716" s="31" t="s">
        <v>2486</v>
      </c>
      <c r="AX716" s="41">
        <f t="shared" si="728"/>
        <v>0</v>
      </c>
      <c r="AY716" s="41">
        <f t="shared" si="729"/>
        <v>0</v>
      </c>
      <c r="AZ716" s="41">
        <v>0</v>
      </c>
      <c r="BA716" s="41">
        <f t="shared" si="730"/>
        <v>2.6999999999999996E-2</v>
      </c>
      <c r="BC716" s="22">
        <f t="shared" si="731"/>
        <v>0</v>
      </c>
      <c r="BD716" s="22">
        <f t="shared" si="732"/>
        <v>0</v>
      </c>
      <c r="BE716" s="22">
        <f t="shared" si="733"/>
        <v>0</v>
      </c>
      <c r="BF716" s="22" t="s">
        <v>1341</v>
      </c>
      <c r="BG716" s="41">
        <v>788</v>
      </c>
    </row>
    <row r="717" spans="1:59" x14ac:dyDescent="0.3">
      <c r="A717" s="6" t="s">
        <v>697</v>
      </c>
      <c r="B717" s="15"/>
      <c r="C717" s="15" t="s">
        <v>1296</v>
      </c>
      <c r="D717" s="107" t="s">
        <v>2102</v>
      </c>
      <c r="E717" s="108"/>
      <c r="F717" s="15" t="s">
        <v>2385</v>
      </c>
      <c r="G717" s="22">
        <v>74.900000000000006</v>
      </c>
      <c r="H717" s="21">
        <v>0</v>
      </c>
      <c r="I717" s="22">
        <f t="shared" si="708"/>
        <v>0</v>
      </c>
      <c r="J717" s="22">
        <f t="shared" si="709"/>
        <v>0</v>
      </c>
      <c r="K717" s="22">
        <f t="shared" si="710"/>
        <v>0</v>
      </c>
      <c r="L717" s="22">
        <v>5.0000000000000001E-4</v>
      </c>
      <c r="M717" s="22">
        <f t="shared" si="711"/>
        <v>3.7450000000000004E-2</v>
      </c>
      <c r="N717" s="37" t="s">
        <v>2417</v>
      </c>
      <c r="O717" s="39"/>
      <c r="U717" s="41">
        <f t="shared" si="712"/>
        <v>0</v>
      </c>
      <c r="W717" s="41">
        <f t="shared" si="713"/>
        <v>0</v>
      </c>
      <c r="X717" s="41">
        <f t="shared" si="714"/>
        <v>0</v>
      </c>
      <c r="Y717" s="41">
        <f t="shared" si="715"/>
        <v>0</v>
      </c>
      <c r="Z717" s="41">
        <f t="shared" si="716"/>
        <v>0</v>
      </c>
      <c r="AA717" s="41">
        <f t="shared" si="717"/>
        <v>0</v>
      </c>
      <c r="AB717" s="41">
        <f t="shared" si="718"/>
        <v>0</v>
      </c>
      <c r="AC717" s="41">
        <f t="shared" si="719"/>
        <v>0</v>
      </c>
      <c r="AD717" s="31"/>
      <c r="AE717" s="22">
        <f t="shared" si="720"/>
        <v>0</v>
      </c>
      <c r="AF717" s="22">
        <f t="shared" si="721"/>
        <v>0</v>
      </c>
      <c r="AG717" s="22">
        <f t="shared" si="722"/>
        <v>0</v>
      </c>
      <c r="AI717" s="41">
        <v>21</v>
      </c>
      <c r="AJ717" s="41">
        <f t="shared" si="723"/>
        <v>0</v>
      </c>
      <c r="AK717" s="41">
        <f t="shared" si="724"/>
        <v>0</v>
      </c>
      <c r="AL717" s="43" t="s">
        <v>13</v>
      </c>
      <c r="AQ717" s="41">
        <f t="shared" si="725"/>
        <v>0</v>
      </c>
      <c r="AR717" s="41">
        <f t="shared" si="726"/>
        <v>0</v>
      </c>
      <c r="AS717" s="41">
        <f t="shared" si="727"/>
        <v>0</v>
      </c>
      <c r="AT717" s="44" t="s">
        <v>2451</v>
      </c>
      <c r="AU717" s="44" t="s">
        <v>2484</v>
      </c>
      <c r="AV717" s="31" t="s">
        <v>2486</v>
      </c>
      <c r="AX717" s="41">
        <f t="shared" si="728"/>
        <v>0</v>
      </c>
      <c r="AY717" s="41">
        <f t="shared" si="729"/>
        <v>0</v>
      </c>
      <c r="AZ717" s="41">
        <v>0</v>
      </c>
      <c r="BA717" s="41">
        <f t="shared" si="730"/>
        <v>3.7450000000000004E-2</v>
      </c>
      <c r="BC717" s="22">
        <f t="shared" si="731"/>
        <v>0</v>
      </c>
      <c r="BD717" s="22">
        <f t="shared" si="732"/>
        <v>0</v>
      </c>
      <c r="BE717" s="22">
        <f t="shared" si="733"/>
        <v>0</v>
      </c>
      <c r="BF717" s="22" t="s">
        <v>1341</v>
      </c>
      <c r="BG717" s="41">
        <v>788</v>
      </c>
    </row>
    <row r="718" spans="1:59" x14ac:dyDescent="0.3">
      <c r="A718" s="4" t="s">
        <v>698</v>
      </c>
      <c r="B718" s="13"/>
      <c r="C718" s="13" t="s">
        <v>1302</v>
      </c>
      <c r="D718" s="101" t="s">
        <v>2103</v>
      </c>
      <c r="E718" s="102"/>
      <c r="F718" s="13" t="s">
        <v>2390</v>
      </c>
      <c r="G718" s="21">
        <v>1</v>
      </c>
      <c r="H718" s="21">
        <v>0</v>
      </c>
      <c r="I718" s="21">
        <f t="shared" si="708"/>
        <v>0</v>
      </c>
      <c r="J718" s="21">
        <f t="shared" si="709"/>
        <v>0</v>
      </c>
      <c r="K718" s="21">
        <f t="shared" si="710"/>
        <v>0</v>
      </c>
      <c r="L718" s="21">
        <v>7.4000000000000003E-3</v>
      </c>
      <c r="M718" s="21">
        <f t="shared" si="711"/>
        <v>7.4000000000000003E-3</v>
      </c>
      <c r="N718" s="35" t="s">
        <v>2417</v>
      </c>
      <c r="O718" s="39"/>
      <c r="U718" s="41">
        <f t="shared" si="712"/>
        <v>0</v>
      </c>
      <c r="W718" s="41">
        <f t="shared" si="713"/>
        <v>0</v>
      </c>
      <c r="X718" s="41">
        <f t="shared" si="714"/>
        <v>0</v>
      </c>
      <c r="Y718" s="41">
        <f t="shared" si="715"/>
        <v>0</v>
      </c>
      <c r="Z718" s="41">
        <f t="shared" si="716"/>
        <v>0</v>
      </c>
      <c r="AA718" s="41">
        <f t="shared" si="717"/>
        <v>0</v>
      </c>
      <c r="AB718" s="41">
        <f t="shared" si="718"/>
        <v>0</v>
      </c>
      <c r="AC718" s="41">
        <f t="shared" si="719"/>
        <v>0</v>
      </c>
      <c r="AD718" s="31"/>
      <c r="AE718" s="21">
        <f t="shared" si="720"/>
        <v>0</v>
      </c>
      <c r="AF718" s="21">
        <f t="shared" si="721"/>
        <v>0</v>
      </c>
      <c r="AG718" s="21">
        <f t="shared" si="722"/>
        <v>0</v>
      </c>
      <c r="AI718" s="41">
        <v>21</v>
      </c>
      <c r="AJ718" s="41">
        <f>H718*0.0176470588235294</f>
        <v>0</v>
      </c>
      <c r="AK718" s="41">
        <f>H718*(1-0.0176470588235294)</f>
        <v>0</v>
      </c>
      <c r="AL718" s="42" t="s">
        <v>13</v>
      </c>
      <c r="AQ718" s="41">
        <f t="shared" si="725"/>
        <v>0</v>
      </c>
      <c r="AR718" s="41">
        <f t="shared" si="726"/>
        <v>0</v>
      </c>
      <c r="AS718" s="41">
        <f t="shared" si="727"/>
        <v>0</v>
      </c>
      <c r="AT718" s="44" t="s">
        <v>2451</v>
      </c>
      <c r="AU718" s="44" t="s">
        <v>2484</v>
      </c>
      <c r="AV718" s="31" t="s">
        <v>2486</v>
      </c>
      <c r="AX718" s="41">
        <f t="shared" si="728"/>
        <v>0</v>
      </c>
      <c r="AY718" s="41">
        <f t="shared" si="729"/>
        <v>0</v>
      </c>
      <c r="AZ718" s="41">
        <v>0</v>
      </c>
      <c r="BA718" s="41">
        <f t="shared" si="730"/>
        <v>7.4000000000000003E-3</v>
      </c>
      <c r="BC718" s="21">
        <f t="shared" si="731"/>
        <v>0</v>
      </c>
      <c r="BD718" s="21">
        <f t="shared" si="732"/>
        <v>0</v>
      </c>
      <c r="BE718" s="21">
        <f t="shared" si="733"/>
        <v>0</v>
      </c>
      <c r="BF718" s="21" t="s">
        <v>2492</v>
      </c>
      <c r="BG718" s="41">
        <v>788</v>
      </c>
    </row>
    <row r="719" spans="1:59" x14ac:dyDescent="0.3">
      <c r="A719" s="5"/>
      <c r="B719" s="14"/>
      <c r="C719" s="14" t="s">
        <v>791</v>
      </c>
      <c r="D719" s="103" t="s">
        <v>2104</v>
      </c>
      <c r="E719" s="104"/>
      <c r="F719" s="19" t="s">
        <v>6</v>
      </c>
      <c r="G719" s="19" t="s">
        <v>6</v>
      </c>
      <c r="H719" s="19" t="s">
        <v>6</v>
      </c>
      <c r="I719" s="47">
        <f>SUM(I720:I730)</f>
        <v>0</v>
      </c>
      <c r="J719" s="47">
        <f>SUM(J720:J730)</f>
        <v>0</v>
      </c>
      <c r="K719" s="47">
        <f>SUM(K720:K730)</f>
        <v>0</v>
      </c>
      <c r="L719" s="31"/>
      <c r="M719" s="47">
        <f>SUM(M720:M730)</f>
        <v>1.7904000000000002</v>
      </c>
      <c r="N719" s="36"/>
      <c r="O719" s="39"/>
      <c r="AD719" s="31"/>
      <c r="AN719" s="47">
        <f>SUM(AE720:AE730)</f>
        <v>0</v>
      </c>
      <c r="AO719" s="47">
        <f>SUM(AF720:AF730)</f>
        <v>0</v>
      </c>
      <c r="AP719" s="47">
        <f>SUM(AG720:AG730)</f>
        <v>0</v>
      </c>
    </row>
    <row r="720" spans="1:59" x14ac:dyDescent="0.3">
      <c r="A720" s="6" t="s">
        <v>699</v>
      </c>
      <c r="B720" s="15"/>
      <c r="C720" s="15" t="s">
        <v>1303</v>
      </c>
      <c r="D720" s="107" t="s">
        <v>2105</v>
      </c>
      <c r="E720" s="108"/>
      <c r="F720" s="15" t="s">
        <v>2391</v>
      </c>
      <c r="G720" s="22">
        <v>1</v>
      </c>
      <c r="H720" s="21">
        <v>0</v>
      </c>
      <c r="I720" s="22">
        <f t="shared" ref="I720:I730" si="734">G720*AJ720</f>
        <v>0</v>
      </c>
      <c r="J720" s="22">
        <f t="shared" ref="J720:J730" si="735">G720*AK720</f>
        <v>0</v>
      </c>
      <c r="K720" s="22">
        <f t="shared" ref="K720:K730" si="736">G720*H720</f>
        <v>0</v>
      </c>
      <c r="L720" s="22">
        <v>0.123</v>
      </c>
      <c r="M720" s="22">
        <f t="shared" ref="M720:M730" si="737">G720*L720</f>
        <v>0.123</v>
      </c>
      <c r="N720" s="37" t="s">
        <v>2417</v>
      </c>
      <c r="O720" s="39"/>
      <c r="U720" s="41">
        <f t="shared" ref="U720:U730" si="738">IF(AL720="5",BE720,0)</f>
        <v>0</v>
      </c>
      <c r="W720" s="41">
        <f t="shared" ref="W720:W730" si="739">IF(AL720="1",BC720,0)</f>
        <v>0</v>
      </c>
      <c r="X720" s="41">
        <f t="shared" ref="X720:X730" si="740">IF(AL720="1",BD720,0)</f>
        <v>0</v>
      </c>
      <c r="Y720" s="41">
        <f t="shared" ref="Y720:Y730" si="741">IF(AL720="7",BC720,0)</f>
        <v>0</v>
      </c>
      <c r="Z720" s="41">
        <f t="shared" ref="Z720:Z730" si="742">IF(AL720="7",BD720,0)</f>
        <v>0</v>
      </c>
      <c r="AA720" s="41">
        <f t="shared" ref="AA720:AA730" si="743">IF(AL720="2",BC720,0)</f>
        <v>0</v>
      </c>
      <c r="AB720" s="41">
        <f t="shared" ref="AB720:AB730" si="744">IF(AL720="2",BD720,0)</f>
        <v>0</v>
      </c>
      <c r="AC720" s="41">
        <f t="shared" ref="AC720:AC730" si="745">IF(AL720="0",BE720,0)</f>
        <v>0</v>
      </c>
      <c r="AD720" s="31"/>
      <c r="AE720" s="22">
        <f t="shared" ref="AE720:AE730" si="746">IF(AI720=0,K720,0)</f>
        <v>0</v>
      </c>
      <c r="AF720" s="22">
        <f t="shared" ref="AF720:AF730" si="747">IF(AI720=15,K720,0)</f>
        <v>0</v>
      </c>
      <c r="AG720" s="22">
        <f t="shared" ref="AG720:AG730" si="748">IF(AI720=21,K720,0)</f>
        <v>0</v>
      </c>
      <c r="AI720" s="41">
        <v>21</v>
      </c>
      <c r="AJ720" s="41">
        <f t="shared" ref="AJ720:AJ729" si="749">H720*1</f>
        <v>0</v>
      </c>
      <c r="AK720" s="41">
        <f t="shared" ref="AK720:AK729" si="750">H720*(1-1)</f>
        <v>0</v>
      </c>
      <c r="AL720" s="43" t="s">
        <v>13</v>
      </c>
      <c r="AQ720" s="41">
        <f t="shared" ref="AQ720:AQ730" si="751">AR720+AS720</f>
        <v>0</v>
      </c>
      <c r="AR720" s="41">
        <f t="shared" ref="AR720:AR730" si="752">G720*AJ720</f>
        <v>0</v>
      </c>
      <c r="AS720" s="41">
        <f t="shared" ref="AS720:AS730" si="753">G720*AK720</f>
        <v>0</v>
      </c>
      <c r="AT720" s="44" t="s">
        <v>2452</v>
      </c>
      <c r="AU720" s="44" t="s">
        <v>2484</v>
      </c>
      <c r="AV720" s="31" t="s">
        <v>2486</v>
      </c>
      <c r="AX720" s="41">
        <f t="shared" ref="AX720:AX730" si="754">AR720+AS720</f>
        <v>0</v>
      </c>
      <c r="AY720" s="41">
        <f t="shared" ref="AY720:AY730" si="755">H720/(100-AZ720)*100</f>
        <v>0</v>
      </c>
      <c r="AZ720" s="41">
        <v>0</v>
      </c>
      <c r="BA720" s="41">
        <f t="shared" ref="BA720:BA730" si="756">M720</f>
        <v>0.123</v>
      </c>
      <c r="BC720" s="22">
        <f t="shared" ref="BC720:BC730" si="757">G720*AJ720</f>
        <v>0</v>
      </c>
      <c r="BD720" s="22">
        <f t="shared" ref="BD720:BD730" si="758">G720*AK720</f>
        <v>0</v>
      </c>
      <c r="BE720" s="22">
        <f t="shared" ref="BE720:BE730" si="759">G720*H720</f>
        <v>0</v>
      </c>
      <c r="BF720" s="22" t="s">
        <v>1341</v>
      </c>
      <c r="BG720" s="41">
        <v>789</v>
      </c>
    </row>
    <row r="721" spans="1:59" x14ac:dyDescent="0.3">
      <c r="A721" s="6" t="s">
        <v>700</v>
      </c>
      <c r="B721" s="15"/>
      <c r="C721" s="15" t="s">
        <v>1303</v>
      </c>
      <c r="D721" s="107" t="s">
        <v>2106</v>
      </c>
      <c r="E721" s="108"/>
      <c r="F721" s="15" t="s">
        <v>2391</v>
      </c>
      <c r="G721" s="22">
        <v>1</v>
      </c>
      <c r="H721" s="21">
        <v>0</v>
      </c>
      <c r="I721" s="22">
        <f t="shared" si="734"/>
        <v>0</v>
      </c>
      <c r="J721" s="22">
        <f t="shared" si="735"/>
        <v>0</v>
      </c>
      <c r="K721" s="22">
        <f t="shared" si="736"/>
        <v>0</v>
      </c>
      <c r="L721" s="22">
        <v>0.11</v>
      </c>
      <c r="M721" s="22">
        <f t="shared" si="737"/>
        <v>0.11</v>
      </c>
      <c r="N721" s="37" t="s">
        <v>2417</v>
      </c>
      <c r="O721" s="39"/>
      <c r="U721" s="41">
        <f t="shared" si="738"/>
        <v>0</v>
      </c>
      <c r="W721" s="41">
        <f t="shared" si="739"/>
        <v>0</v>
      </c>
      <c r="X721" s="41">
        <f t="shared" si="740"/>
        <v>0</v>
      </c>
      <c r="Y721" s="41">
        <f t="shared" si="741"/>
        <v>0</v>
      </c>
      <c r="Z721" s="41">
        <f t="shared" si="742"/>
        <v>0</v>
      </c>
      <c r="AA721" s="41">
        <f t="shared" si="743"/>
        <v>0</v>
      </c>
      <c r="AB721" s="41">
        <f t="shared" si="744"/>
        <v>0</v>
      </c>
      <c r="AC721" s="41">
        <f t="shared" si="745"/>
        <v>0</v>
      </c>
      <c r="AD721" s="31"/>
      <c r="AE721" s="22">
        <f t="shared" si="746"/>
        <v>0</v>
      </c>
      <c r="AF721" s="22">
        <f t="shared" si="747"/>
        <v>0</v>
      </c>
      <c r="AG721" s="22">
        <f t="shared" si="748"/>
        <v>0</v>
      </c>
      <c r="AI721" s="41">
        <v>21</v>
      </c>
      <c r="AJ721" s="41">
        <f t="shared" si="749"/>
        <v>0</v>
      </c>
      <c r="AK721" s="41">
        <f t="shared" si="750"/>
        <v>0</v>
      </c>
      <c r="AL721" s="43" t="s">
        <v>13</v>
      </c>
      <c r="AQ721" s="41">
        <f t="shared" si="751"/>
        <v>0</v>
      </c>
      <c r="AR721" s="41">
        <f t="shared" si="752"/>
        <v>0</v>
      </c>
      <c r="AS721" s="41">
        <f t="shared" si="753"/>
        <v>0</v>
      </c>
      <c r="AT721" s="44" t="s">
        <v>2452</v>
      </c>
      <c r="AU721" s="44" t="s">
        <v>2484</v>
      </c>
      <c r="AV721" s="31" t="s">
        <v>2486</v>
      </c>
      <c r="AX721" s="41">
        <f t="shared" si="754"/>
        <v>0</v>
      </c>
      <c r="AY721" s="41">
        <f t="shared" si="755"/>
        <v>0</v>
      </c>
      <c r="AZ721" s="41">
        <v>0</v>
      </c>
      <c r="BA721" s="41">
        <f t="shared" si="756"/>
        <v>0.11</v>
      </c>
      <c r="BC721" s="22">
        <f t="shared" si="757"/>
        <v>0</v>
      </c>
      <c r="BD721" s="22">
        <f t="shared" si="758"/>
        <v>0</v>
      </c>
      <c r="BE721" s="22">
        <f t="shared" si="759"/>
        <v>0</v>
      </c>
      <c r="BF721" s="22" t="s">
        <v>1341</v>
      </c>
      <c r="BG721" s="41">
        <v>789</v>
      </c>
    </row>
    <row r="722" spans="1:59" x14ac:dyDescent="0.3">
      <c r="A722" s="6" t="s">
        <v>701</v>
      </c>
      <c r="B722" s="15"/>
      <c r="C722" s="15" t="s">
        <v>1304</v>
      </c>
      <c r="D722" s="107" t="s">
        <v>2107</v>
      </c>
      <c r="E722" s="108"/>
      <c r="F722" s="15" t="s">
        <v>2391</v>
      </c>
      <c r="G722" s="22">
        <v>2</v>
      </c>
      <c r="H722" s="21">
        <v>0</v>
      </c>
      <c r="I722" s="22">
        <f t="shared" si="734"/>
        <v>0</v>
      </c>
      <c r="J722" s="22">
        <f t="shared" si="735"/>
        <v>0</v>
      </c>
      <c r="K722" s="22">
        <f t="shared" si="736"/>
        <v>0</v>
      </c>
      <c r="L722" s="22">
        <v>4.4999999999999997E-3</v>
      </c>
      <c r="M722" s="22">
        <f t="shared" si="737"/>
        <v>8.9999999999999993E-3</v>
      </c>
      <c r="N722" s="37" t="s">
        <v>2417</v>
      </c>
      <c r="O722" s="39"/>
      <c r="U722" s="41">
        <f t="shared" si="738"/>
        <v>0</v>
      </c>
      <c r="W722" s="41">
        <f t="shared" si="739"/>
        <v>0</v>
      </c>
      <c r="X722" s="41">
        <f t="shared" si="740"/>
        <v>0</v>
      </c>
      <c r="Y722" s="41">
        <f t="shared" si="741"/>
        <v>0</v>
      </c>
      <c r="Z722" s="41">
        <f t="shared" si="742"/>
        <v>0</v>
      </c>
      <c r="AA722" s="41">
        <f t="shared" si="743"/>
        <v>0</v>
      </c>
      <c r="AB722" s="41">
        <f t="shared" si="744"/>
        <v>0</v>
      </c>
      <c r="AC722" s="41">
        <f t="shared" si="745"/>
        <v>0</v>
      </c>
      <c r="AD722" s="31"/>
      <c r="AE722" s="22">
        <f t="shared" si="746"/>
        <v>0</v>
      </c>
      <c r="AF722" s="22">
        <f t="shared" si="747"/>
        <v>0</v>
      </c>
      <c r="AG722" s="22">
        <f t="shared" si="748"/>
        <v>0</v>
      </c>
      <c r="AI722" s="41">
        <v>21</v>
      </c>
      <c r="AJ722" s="41">
        <f t="shared" si="749"/>
        <v>0</v>
      </c>
      <c r="AK722" s="41">
        <f t="shared" si="750"/>
        <v>0</v>
      </c>
      <c r="AL722" s="43" t="s">
        <v>13</v>
      </c>
      <c r="AQ722" s="41">
        <f t="shared" si="751"/>
        <v>0</v>
      </c>
      <c r="AR722" s="41">
        <f t="shared" si="752"/>
        <v>0</v>
      </c>
      <c r="AS722" s="41">
        <f t="shared" si="753"/>
        <v>0</v>
      </c>
      <c r="AT722" s="44" t="s">
        <v>2452</v>
      </c>
      <c r="AU722" s="44" t="s">
        <v>2484</v>
      </c>
      <c r="AV722" s="31" t="s">
        <v>2486</v>
      </c>
      <c r="AX722" s="41">
        <f t="shared" si="754"/>
        <v>0</v>
      </c>
      <c r="AY722" s="41">
        <f t="shared" si="755"/>
        <v>0</v>
      </c>
      <c r="AZ722" s="41">
        <v>0</v>
      </c>
      <c r="BA722" s="41">
        <f t="shared" si="756"/>
        <v>8.9999999999999993E-3</v>
      </c>
      <c r="BC722" s="22">
        <f t="shared" si="757"/>
        <v>0</v>
      </c>
      <c r="BD722" s="22">
        <f t="shared" si="758"/>
        <v>0</v>
      </c>
      <c r="BE722" s="22">
        <f t="shared" si="759"/>
        <v>0</v>
      </c>
      <c r="BF722" s="22" t="s">
        <v>1341</v>
      </c>
      <c r="BG722" s="41">
        <v>789</v>
      </c>
    </row>
    <row r="723" spans="1:59" x14ac:dyDescent="0.3">
      <c r="A723" s="6" t="s">
        <v>702</v>
      </c>
      <c r="B723" s="15"/>
      <c r="C723" s="15" t="s">
        <v>1304</v>
      </c>
      <c r="D723" s="107" t="s">
        <v>2108</v>
      </c>
      <c r="E723" s="108"/>
      <c r="F723" s="15" t="s">
        <v>2391</v>
      </c>
      <c r="G723" s="22">
        <v>4</v>
      </c>
      <c r="H723" s="21">
        <v>0</v>
      </c>
      <c r="I723" s="22">
        <f t="shared" si="734"/>
        <v>0</v>
      </c>
      <c r="J723" s="22">
        <f t="shared" si="735"/>
        <v>0</v>
      </c>
      <c r="K723" s="22">
        <f t="shared" si="736"/>
        <v>0</v>
      </c>
      <c r="L723" s="22">
        <v>0.06</v>
      </c>
      <c r="M723" s="22">
        <f t="shared" si="737"/>
        <v>0.24</v>
      </c>
      <c r="N723" s="37" t="s">
        <v>2417</v>
      </c>
      <c r="O723" s="39"/>
      <c r="U723" s="41">
        <f t="shared" si="738"/>
        <v>0</v>
      </c>
      <c r="W723" s="41">
        <f t="shared" si="739"/>
        <v>0</v>
      </c>
      <c r="X723" s="41">
        <f t="shared" si="740"/>
        <v>0</v>
      </c>
      <c r="Y723" s="41">
        <f t="shared" si="741"/>
        <v>0</v>
      </c>
      <c r="Z723" s="41">
        <f t="shared" si="742"/>
        <v>0</v>
      </c>
      <c r="AA723" s="41">
        <f t="shared" si="743"/>
        <v>0</v>
      </c>
      <c r="AB723" s="41">
        <f t="shared" si="744"/>
        <v>0</v>
      </c>
      <c r="AC723" s="41">
        <f t="shared" si="745"/>
        <v>0</v>
      </c>
      <c r="AD723" s="31"/>
      <c r="AE723" s="22">
        <f t="shared" si="746"/>
        <v>0</v>
      </c>
      <c r="AF723" s="22">
        <f t="shared" si="747"/>
        <v>0</v>
      </c>
      <c r="AG723" s="22">
        <f t="shared" si="748"/>
        <v>0</v>
      </c>
      <c r="AI723" s="41">
        <v>21</v>
      </c>
      <c r="AJ723" s="41">
        <f t="shared" si="749"/>
        <v>0</v>
      </c>
      <c r="AK723" s="41">
        <f t="shared" si="750"/>
        <v>0</v>
      </c>
      <c r="AL723" s="43" t="s">
        <v>13</v>
      </c>
      <c r="AQ723" s="41">
        <f t="shared" si="751"/>
        <v>0</v>
      </c>
      <c r="AR723" s="41">
        <f t="shared" si="752"/>
        <v>0</v>
      </c>
      <c r="AS723" s="41">
        <f t="shared" si="753"/>
        <v>0</v>
      </c>
      <c r="AT723" s="44" t="s">
        <v>2452</v>
      </c>
      <c r="AU723" s="44" t="s">
        <v>2484</v>
      </c>
      <c r="AV723" s="31" t="s">
        <v>2486</v>
      </c>
      <c r="AX723" s="41">
        <f t="shared" si="754"/>
        <v>0</v>
      </c>
      <c r="AY723" s="41">
        <f t="shared" si="755"/>
        <v>0</v>
      </c>
      <c r="AZ723" s="41">
        <v>0</v>
      </c>
      <c r="BA723" s="41">
        <f t="shared" si="756"/>
        <v>0.24</v>
      </c>
      <c r="BC723" s="22">
        <f t="shared" si="757"/>
        <v>0</v>
      </c>
      <c r="BD723" s="22">
        <f t="shared" si="758"/>
        <v>0</v>
      </c>
      <c r="BE723" s="22">
        <f t="shared" si="759"/>
        <v>0</v>
      </c>
      <c r="BF723" s="22" t="s">
        <v>1341</v>
      </c>
      <c r="BG723" s="41">
        <v>789</v>
      </c>
    </row>
    <row r="724" spans="1:59" x14ac:dyDescent="0.3">
      <c r="A724" s="6" t="s">
        <v>703</v>
      </c>
      <c r="B724" s="15"/>
      <c r="C724" s="15" t="s">
        <v>1303</v>
      </c>
      <c r="D724" s="107" t="s">
        <v>2109</v>
      </c>
      <c r="E724" s="108"/>
      <c r="F724" s="15" t="s">
        <v>2391</v>
      </c>
      <c r="G724" s="22">
        <v>3</v>
      </c>
      <c r="H724" s="21">
        <v>0</v>
      </c>
      <c r="I724" s="22">
        <f t="shared" si="734"/>
        <v>0</v>
      </c>
      <c r="J724" s="22">
        <f t="shared" si="735"/>
        <v>0</v>
      </c>
      <c r="K724" s="22">
        <f t="shared" si="736"/>
        <v>0</v>
      </c>
      <c r="L724" s="22">
        <v>0.1</v>
      </c>
      <c r="M724" s="22">
        <f t="shared" si="737"/>
        <v>0.30000000000000004</v>
      </c>
      <c r="N724" s="37" t="s">
        <v>2417</v>
      </c>
      <c r="O724" s="39"/>
      <c r="U724" s="41">
        <f t="shared" si="738"/>
        <v>0</v>
      </c>
      <c r="W724" s="41">
        <f t="shared" si="739"/>
        <v>0</v>
      </c>
      <c r="X724" s="41">
        <f t="shared" si="740"/>
        <v>0</v>
      </c>
      <c r="Y724" s="41">
        <f t="shared" si="741"/>
        <v>0</v>
      </c>
      <c r="Z724" s="41">
        <f t="shared" si="742"/>
        <v>0</v>
      </c>
      <c r="AA724" s="41">
        <f t="shared" si="743"/>
        <v>0</v>
      </c>
      <c r="AB724" s="41">
        <f t="shared" si="744"/>
        <v>0</v>
      </c>
      <c r="AC724" s="41">
        <f t="shared" si="745"/>
        <v>0</v>
      </c>
      <c r="AD724" s="31"/>
      <c r="AE724" s="22">
        <f t="shared" si="746"/>
        <v>0</v>
      </c>
      <c r="AF724" s="22">
        <f t="shared" si="747"/>
        <v>0</v>
      </c>
      <c r="AG724" s="22">
        <f t="shared" si="748"/>
        <v>0</v>
      </c>
      <c r="AI724" s="41">
        <v>21</v>
      </c>
      <c r="AJ724" s="41">
        <f t="shared" si="749"/>
        <v>0</v>
      </c>
      <c r="AK724" s="41">
        <f t="shared" si="750"/>
        <v>0</v>
      </c>
      <c r="AL724" s="43" t="s">
        <v>13</v>
      </c>
      <c r="AQ724" s="41">
        <f t="shared" si="751"/>
        <v>0</v>
      </c>
      <c r="AR724" s="41">
        <f t="shared" si="752"/>
        <v>0</v>
      </c>
      <c r="AS724" s="41">
        <f t="shared" si="753"/>
        <v>0</v>
      </c>
      <c r="AT724" s="44" t="s">
        <v>2452</v>
      </c>
      <c r="AU724" s="44" t="s">
        <v>2484</v>
      </c>
      <c r="AV724" s="31" t="s">
        <v>2486</v>
      </c>
      <c r="AX724" s="41">
        <f t="shared" si="754"/>
        <v>0</v>
      </c>
      <c r="AY724" s="41">
        <f t="shared" si="755"/>
        <v>0</v>
      </c>
      <c r="AZ724" s="41">
        <v>0</v>
      </c>
      <c r="BA724" s="41">
        <f t="shared" si="756"/>
        <v>0.30000000000000004</v>
      </c>
      <c r="BC724" s="22">
        <f t="shared" si="757"/>
        <v>0</v>
      </c>
      <c r="BD724" s="22">
        <f t="shared" si="758"/>
        <v>0</v>
      </c>
      <c r="BE724" s="22">
        <f t="shared" si="759"/>
        <v>0</v>
      </c>
      <c r="BF724" s="22" t="s">
        <v>1341</v>
      </c>
      <c r="BG724" s="41">
        <v>789</v>
      </c>
    </row>
    <row r="725" spans="1:59" x14ac:dyDescent="0.3">
      <c r="A725" s="6" t="s">
        <v>704</v>
      </c>
      <c r="B725" s="15"/>
      <c r="C725" s="15" t="s">
        <v>1305</v>
      </c>
      <c r="D725" s="107" t="s">
        <v>2110</v>
      </c>
      <c r="E725" s="108"/>
      <c r="F725" s="15" t="s">
        <v>2391</v>
      </c>
      <c r="G725" s="22">
        <v>3</v>
      </c>
      <c r="H725" s="21">
        <v>0</v>
      </c>
      <c r="I725" s="22">
        <f t="shared" si="734"/>
        <v>0</v>
      </c>
      <c r="J725" s="22">
        <f t="shared" si="735"/>
        <v>0</v>
      </c>
      <c r="K725" s="22">
        <f t="shared" si="736"/>
        <v>0</v>
      </c>
      <c r="L725" s="22">
        <v>0.123</v>
      </c>
      <c r="M725" s="22">
        <f t="shared" si="737"/>
        <v>0.36899999999999999</v>
      </c>
      <c r="N725" s="37" t="s">
        <v>2417</v>
      </c>
      <c r="O725" s="39"/>
      <c r="U725" s="41">
        <f t="shared" si="738"/>
        <v>0</v>
      </c>
      <c r="W725" s="41">
        <f t="shared" si="739"/>
        <v>0</v>
      </c>
      <c r="X725" s="41">
        <f t="shared" si="740"/>
        <v>0</v>
      </c>
      <c r="Y725" s="41">
        <f t="shared" si="741"/>
        <v>0</v>
      </c>
      <c r="Z725" s="41">
        <f t="shared" si="742"/>
        <v>0</v>
      </c>
      <c r="AA725" s="41">
        <f t="shared" si="743"/>
        <v>0</v>
      </c>
      <c r="AB725" s="41">
        <f t="shared" si="744"/>
        <v>0</v>
      </c>
      <c r="AC725" s="41">
        <f t="shared" si="745"/>
        <v>0</v>
      </c>
      <c r="AD725" s="31"/>
      <c r="AE725" s="22">
        <f t="shared" si="746"/>
        <v>0</v>
      </c>
      <c r="AF725" s="22">
        <f t="shared" si="747"/>
        <v>0</v>
      </c>
      <c r="AG725" s="22">
        <f t="shared" si="748"/>
        <v>0</v>
      </c>
      <c r="AI725" s="41">
        <v>21</v>
      </c>
      <c r="AJ725" s="41">
        <f t="shared" si="749"/>
        <v>0</v>
      </c>
      <c r="AK725" s="41">
        <f t="shared" si="750"/>
        <v>0</v>
      </c>
      <c r="AL725" s="43" t="s">
        <v>13</v>
      </c>
      <c r="AQ725" s="41">
        <f t="shared" si="751"/>
        <v>0</v>
      </c>
      <c r="AR725" s="41">
        <f t="shared" si="752"/>
        <v>0</v>
      </c>
      <c r="AS725" s="41">
        <f t="shared" si="753"/>
        <v>0</v>
      </c>
      <c r="AT725" s="44" t="s">
        <v>2452</v>
      </c>
      <c r="AU725" s="44" t="s">
        <v>2484</v>
      </c>
      <c r="AV725" s="31" t="s">
        <v>2486</v>
      </c>
      <c r="AX725" s="41">
        <f t="shared" si="754"/>
        <v>0</v>
      </c>
      <c r="AY725" s="41">
        <f t="shared" si="755"/>
        <v>0</v>
      </c>
      <c r="AZ725" s="41">
        <v>0</v>
      </c>
      <c r="BA725" s="41">
        <f t="shared" si="756"/>
        <v>0.36899999999999999</v>
      </c>
      <c r="BC725" s="22">
        <f t="shared" si="757"/>
        <v>0</v>
      </c>
      <c r="BD725" s="22">
        <f t="shared" si="758"/>
        <v>0</v>
      </c>
      <c r="BE725" s="22">
        <f t="shared" si="759"/>
        <v>0</v>
      </c>
      <c r="BF725" s="22" t="s">
        <v>1341</v>
      </c>
      <c r="BG725" s="41">
        <v>789</v>
      </c>
    </row>
    <row r="726" spans="1:59" x14ac:dyDescent="0.3">
      <c r="A726" s="6" t="s">
        <v>705</v>
      </c>
      <c r="B726" s="15"/>
      <c r="C726" s="15" t="s">
        <v>1306</v>
      </c>
      <c r="D726" s="107" t="s">
        <v>2111</v>
      </c>
      <c r="E726" s="108"/>
      <c r="F726" s="15" t="s">
        <v>2391</v>
      </c>
      <c r="G726" s="22">
        <v>4</v>
      </c>
      <c r="H726" s="21">
        <v>0</v>
      </c>
      <c r="I726" s="22">
        <f t="shared" si="734"/>
        <v>0</v>
      </c>
      <c r="J726" s="22">
        <f t="shared" si="735"/>
        <v>0</v>
      </c>
      <c r="K726" s="22">
        <f t="shared" si="736"/>
        <v>0</v>
      </c>
      <c r="L726" s="22">
        <v>6.4999999999999997E-3</v>
      </c>
      <c r="M726" s="22">
        <f t="shared" si="737"/>
        <v>2.5999999999999999E-2</v>
      </c>
      <c r="N726" s="37" t="s">
        <v>2417</v>
      </c>
      <c r="O726" s="39"/>
      <c r="U726" s="41">
        <f t="shared" si="738"/>
        <v>0</v>
      </c>
      <c r="W726" s="41">
        <f t="shared" si="739"/>
        <v>0</v>
      </c>
      <c r="X726" s="41">
        <f t="shared" si="740"/>
        <v>0</v>
      </c>
      <c r="Y726" s="41">
        <f t="shared" si="741"/>
        <v>0</v>
      </c>
      <c r="Z726" s="41">
        <f t="shared" si="742"/>
        <v>0</v>
      </c>
      <c r="AA726" s="41">
        <f t="shared" si="743"/>
        <v>0</v>
      </c>
      <c r="AB726" s="41">
        <f t="shared" si="744"/>
        <v>0</v>
      </c>
      <c r="AC726" s="41">
        <f t="shared" si="745"/>
        <v>0</v>
      </c>
      <c r="AD726" s="31"/>
      <c r="AE726" s="22">
        <f t="shared" si="746"/>
        <v>0</v>
      </c>
      <c r="AF726" s="22">
        <f t="shared" si="747"/>
        <v>0</v>
      </c>
      <c r="AG726" s="22">
        <f t="shared" si="748"/>
        <v>0</v>
      </c>
      <c r="AI726" s="41">
        <v>21</v>
      </c>
      <c r="AJ726" s="41">
        <f t="shared" si="749"/>
        <v>0</v>
      </c>
      <c r="AK726" s="41">
        <f t="shared" si="750"/>
        <v>0</v>
      </c>
      <c r="AL726" s="43" t="s">
        <v>13</v>
      </c>
      <c r="AQ726" s="41">
        <f t="shared" si="751"/>
        <v>0</v>
      </c>
      <c r="AR726" s="41">
        <f t="shared" si="752"/>
        <v>0</v>
      </c>
      <c r="AS726" s="41">
        <f t="shared" si="753"/>
        <v>0</v>
      </c>
      <c r="AT726" s="44" t="s">
        <v>2452</v>
      </c>
      <c r="AU726" s="44" t="s">
        <v>2484</v>
      </c>
      <c r="AV726" s="31" t="s">
        <v>2486</v>
      </c>
      <c r="AX726" s="41">
        <f t="shared" si="754"/>
        <v>0</v>
      </c>
      <c r="AY726" s="41">
        <f t="shared" si="755"/>
        <v>0</v>
      </c>
      <c r="AZ726" s="41">
        <v>0</v>
      </c>
      <c r="BA726" s="41">
        <f t="shared" si="756"/>
        <v>2.5999999999999999E-2</v>
      </c>
      <c r="BC726" s="22">
        <f t="shared" si="757"/>
        <v>0</v>
      </c>
      <c r="BD726" s="22">
        <f t="shared" si="758"/>
        <v>0</v>
      </c>
      <c r="BE726" s="22">
        <f t="shared" si="759"/>
        <v>0</v>
      </c>
      <c r="BF726" s="22" t="s">
        <v>1341</v>
      </c>
      <c r="BG726" s="41">
        <v>789</v>
      </c>
    </row>
    <row r="727" spans="1:59" x14ac:dyDescent="0.3">
      <c r="A727" s="6" t="s">
        <v>706</v>
      </c>
      <c r="B727" s="15"/>
      <c r="C727" s="15" t="s">
        <v>1306</v>
      </c>
      <c r="D727" s="107" t="s">
        <v>2112</v>
      </c>
      <c r="E727" s="108"/>
      <c r="F727" s="15" t="s">
        <v>2391</v>
      </c>
      <c r="G727" s="22">
        <v>2</v>
      </c>
      <c r="H727" s="21">
        <v>0</v>
      </c>
      <c r="I727" s="22">
        <f t="shared" si="734"/>
        <v>0</v>
      </c>
      <c r="J727" s="22">
        <f t="shared" si="735"/>
        <v>0</v>
      </c>
      <c r="K727" s="22">
        <f t="shared" si="736"/>
        <v>0</v>
      </c>
      <c r="L727" s="22">
        <v>6.7000000000000002E-3</v>
      </c>
      <c r="M727" s="22">
        <f t="shared" si="737"/>
        <v>1.34E-2</v>
      </c>
      <c r="N727" s="37" t="s">
        <v>2417</v>
      </c>
      <c r="O727" s="39"/>
      <c r="U727" s="41">
        <f t="shared" si="738"/>
        <v>0</v>
      </c>
      <c r="W727" s="41">
        <f t="shared" si="739"/>
        <v>0</v>
      </c>
      <c r="X727" s="41">
        <f t="shared" si="740"/>
        <v>0</v>
      </c>
      <c r="Y727" s="41">
        <f t="shared" si="741"/>
        <v>0</v>
      </c>
      <c r="Z727" s="41">
        <f t="shared" si="742"/>
        <v>0</v>
      </c>
      <c r="AA727" s="41">
        <f t="shared" si="743"/>
        <v>0</v>
      </c>
      <c r="AB727" s="41">
        <f t="shared" si="744"/>
        <v>0</v>
      </c>
      <c r="AC727" s="41">
        <f t="shared" si="745"/>
        <v>0</v>
      </c>
      <c r="AD727" s="31"/>
      <c r="AE727" s="22">
        <f t="shared" si="746"/>
        <v>0</v>
      </c>
      <c r="AF727" s="22">
        <f t="shared" si="747"/>
        <v>0</v>
      </c>
      <c r="AG727" s="22">
        <f t="shared" si="748"/>
        <v>0</v>
      </c>
      <c r="AI727" s="41">
        <v>21</v>
      </c>
      <c r="AJ727" s="41">
        <f t="shared" si="749"/>
        <v>0</v>
      </c>
      <c r="AK727" s="41">
        <f t="shared" si="750"/>
        <v>0</v>
      </c>
      <c r="AL727" s="43" t="s">
        <v>13</v>
      </c>
      <c r="AQ727" s="41">
        <f t="shared" si="751"/>
        <v>0</v>
      </c>
      <c r="AR727" s="41">
        <f t="shared" si="752"/>
        <v>0</v>
      </c>
      <c r="AS727" s="41">
        <f t="shared" si="753"/>
        <v>0</v>
      </c>
      <c r="AT727" s="44" t="s">
        <v>2452</v>
      </c>
      <c r="AU727" s="44" t="s">
        <v>2484</v>
      </c>
      <c r="AV727" s="31" t="s">
        <v>2486</v>
      </c>
      <c r="AX727" s="41">
        <f t="shared" si="754"/>
        <v>0</v>
      </c>
      <c r="AY727" s="41">
        <f t="shared" si="755"/>
        <v>0</v>
      </c>
      <c r="AZ727" s="41">
        <v>0</v>
      </c>
      <c r="BA727" s="41">
        <f t="shared" si="756"/>
        <v>1.34E-2</v>
      </c>
      <c r="BC727" s="22">
        <f t="shared" si="757"/>
        <v>0</v>
      </c>
      <c r="BD727" s="22">
        <f t="shared" si="758"/>
        <v>0</v>
      </c>
      <c r="BE727" s="22">
        <f t="shared" si="759"/>
        <v>0</v>
      </c>
      <c r="BF727" s="22" t="s">
        <v>1341</v>
      </c>
      <c r="BG727" s="41">
        <v>789</v>
      </c>
    </row>
    <row r="728" spans="1:59" x14ac:dyDescent="0.3">
      <c r="A728" s="6" t="s">
        <v>707</v>
      </c>
      <c r="B728" s="15"/>
      <c r="C728" s="15" t="s">
        <v>1307</v>
      </c>
      <c r="D728" s="107" t="s">
        <v>2113</v>
      </c>
      <c r="E728" s="108"/>
      <c r="F728" s="15" t="s">
        <v>2391</v>
      </c>
      <c r="G728" s="22">
        <v>3</v>
      </c>
      <c r="H728" s="21">
        <v>0</v>
      </c>
      <c r="I728" s="22">
        <f t="shared" si="734"/>
        <v>0</v>
      </c>
      <c r="J728" s="22">
        <f t="shared" si="735"/>
        <v>0</v>
      </c>
      <c r="K728" s="22">
        <f t="shared" si="736"/>
        <v>0</v>
      </c>
      <c r="L728" s="22">
        <v>0.1</v>
      </c>
      <c r="M728" s="22">
        <f t="shared" si="737"/>
        <v>0.30000000000000004</v>
      </c>
      <c r="N728" s="37" t="s">
        <v>2417</v>
      </c>
      <c r="O728" s="39"/>
      <c r="U728" s="41">
        <f t="shared" si="738"/>
        <v>0</v>
      </c>
      <c r="W728" s="41">
        <f t="shared" si="739"/>
        <v>0</v>
      </c>
      <c r="X728" s="41">
        <f t="shared" si="740"/>
        <v>0</v>
      </c>
      <c r="Y728" s="41">
        <f t="shared" si="741"/>
        <v>0</v>
      </c>
      <c r="Z728" s="41">
        <f t="shared" si="742"/>
        <v>0</v>
      </c>
      <c r="AA728" s="41">
        <f t="shared" si="743"/>
        <v>0</v>
      </c>
      <c r="AB728" s="41">
        <f t="shared" si="744"/>
        <v>0</v>
      </c>
      <c r="AC728" s="41">
        <f t="shared" si="745"/>
        <v>0</v>
      </c>
      <c r="AD728" s="31"/>
      <c r="AE728" s="22">
        <f t="shared" si="746"/>
        <v>0</v>
      </c>
      <c r="AF728" s="22">
        <f t="shared" si="747"/>
        <v>0</v>
      </c>
      <c r="AG728" s="22">
        <f t="shared" si="748"/>
        <v>0</v>
      </c>
      <c r="AI728" s="41">
        <v>21</v>
      </c>
      <c r="AJ728" s="41">
        <f t="shared" si="749"/>
        <v>0</v>
      </c>
      <c r="AK728" s="41">
        <f t="shared" si="750"/>
        <v>0</v>
      </c>
      <c r="AL728" s="43" t="s">
        <v>13</v>
      </c>
      <c r="AQ728" s="41">
        <f t="shared" si="751"/>
        <v>0</v>
      </c>
      <c r="AR728" s="41">
        <f t="shared" si="752"/>
        <v>0</v>
      </c>
      <c r="AS728" s="41">
        <f t="shared" si="753"/>
        <v>0</v>
      </c>
      <c r="AT728" s="44" t="s">
        <v>2452</v>
      </c>
      <c r="AU728" s="44" t="s">
        <v>2484</v>
      </c>
      <c r="AV728" s="31" t="s">
        <v>2486</v>
      </c>
      <c r="AX728" s="41">
        <f t="shared" si="754"/>
        <v>0</v>
      </c>
      <c r="AY728" s="41">
        <f t="shared" si="755"/>
        <v>0</v>
      </c>
      <c r="AZ728" s="41">
        <v>0</v>
      </c>
      <c r="BA728" s="41">
        <f t="shared" si="756"/>
        <v>0.30000000000000004</v>
      </c>
      <c r="BC728" s="22">
        <f t="shared" si="757"/>
        <v>0</v>
      </c>
      <c r="BD728" s="22">
        <f t="shared" si="758"/>
        <v>0</v>
      </c>
      <c r="BE728" s="22">
        <f t="shared" si="759"/>
        <v>0</v>
      </c>
      <c r="BF728" s="22" t="s">
        <v>1341</v>
      </c>
      <c r="BG728" s="41">
        <v>789</v>
      </c>
    </row>
    <row r="729" spans="1:59" x14ac:dyDescent="0.3">
      <c r="A729" s="6" t="s">
        <v>708</v>
      </c>
      <c r="B729" s="15"/>
      <c r="C729" s="15" t="s">
        <v>1308</v>
      </c>
      <c r="D729" s="107" t="s">
        <v>2114</v>
      </c>
      <c r="E729" s="108"/>
      <c r="F729" s="15" t="s">
        <v>2391</v>
      </c>
      <c r="G729" s="22">
        <v>3</v>
      </c>
      <c r="H729" s="21">
        <v>0</v>
      </c>
      <c r="I729" s="22">
        <f t="shared" si="734"/>
        <v>0</v>
      </c>
      <c r="J729" s="22">
        <f t="shared" si="735"/>
        <v>0</v>
      </c>
      <c r="K729" s="22">
        <f t="shared" si="736"/>
        <v>0</v>
      </c>
      <c r="L729" s="22">
        <v>0.1</v>
      </c>
      <c r="M729" s="22">
        <f t="shared" si="737"/>
        <v>0.30000000000000004</v>
      </c>
      <c r="N729" s="37" t="s">
        <v>2417</v>
      </c>
      <c r="O729" s="39"/>
      <c r="U729" s="41">
        <f t="shared" si="738"/>
        <v>0</v>
      </c>
      <c r="W729" s="41">
        <f t="shared" si="739"/>
        <v>0</v>
      </c>
      <c r="X729" s="41">
        <f t="shared" si="740"/>
        <v>0</v>
      </c>
      <c r="Y729" s="41">
        <f t="shared" si="741"/>
        <v>0</v>
      </c>
      <c r="Z729" s="41">
        <f t="shared" si="742"/>
        <v>0</v>
      </c>
      <c r="AA729" s="41">
        <f t="shared" si="743"/>
        <v>0</v>
      </c>
      <c r="AB729" s="41">
        <f t="shared" si="744"/>
        <v>0</v>
      </c>
      <c r="AC729" s="41">
        <f t="shared" si="745"/>
        <v>0</v>
      </c>
      <c r="AD729" s="31"/>
      <c r="AE729" s="22">
        <f t="shared" si="746"/>
        <v>0</v>
      </c>
      <c r="AF729" s="22">
        <f t="shared" si="747"/>
        <v>0</v>
      </c>
      <c r="AG729" s="22">
        <f t="shared" si="748"/>
        <v>0</v>
      </c>
      <c r="AI729" s="41">
        <v>21</v>
      </c>
      <c r="AJ729" s="41">
        <f t="shared" si="749"/>
        <v>0</v>
      </c>
      <c r="AK729" s="41">
        <f t="shared" si="750"/>
        <v>0</v>
      </c>
      <c r="AL729" s="43" t="s">
        <v>13</v>
      </c>
      <c r="AQ729" s="41">
        <f t="shared" si="751"/>
        <v>0</v>
      </c>
      <c r="AR729" s="41">
        <f t="shared" si="752"/>
        <v>0</v>
      </c>
      <c r="AS729" s="41">
        <f t="shared" si="753"/>
        <v>0</v>
      </c>
      <c r="AT729" s="44" t="s">
        <v>2452</v>
      </c>
      <c r="AU729" s="44" t="s">
        <v>2484</v>
      </c>
      <c r="AV729" s="31" t="s">
        <v>2486</v>
      </c>
      <c r="AX729" s="41">
        <f t="shared" si="754"/>
        <v>0</v>
      </c>
      <c r="AY729" s="41">
        <f t="shared" si="755"/>
        <v>0</v>
      </c>
      <c r="AZ729" s="41">
        <v>0</v>
      </c>
      <c r="BA729" s="41">
        <f t="shared" si="756"/>
        <v>0.30000000000000004</v>
      </c>
      <c r="BC729" s="22">
        <f t="shared" si="757"/>
        <v>0</v>
      </c>
      <c r="BD729" s="22">
        <f t="shared" si="758"/>
        <v>0</v>
      </c>
      <c r="BE729" s="22">
        <f t="shared" si="759"/>
        <v>0</v>
      </c>
      <c r="BF729" s="22" t="s">
        <v>1341</v>
      </c>
      <c r="BG729" s="41">
        <v>789</v>
      </c>
    </row>
    <row r="730" spans="1:59" x14ac:dyDescent="0.3">
      <c r="A730" s="4" t="s">
        <v>709</v>
      </c>
      <c r="B730" s="13"/>
      <c r="C730" s="13" t="s">
        <v>1309</v>
      </c>
      <c r="D730" s="101" t="s">
        <v>2115</v>
      </c>
      <c r="E730" s="102"/>
      <c r="F730" s="13" t="s">
        <v>2390</v>
      </c>
      <c r="G730" s="21">
        <v>1</v>
      </c>
      <c r="H730" s="21">
        <v>0</v>
      </c>
      <c r="I730" s="21">
        <f t="shared" si="734"/>
        <v>0</v>
      </c>
      <c r="J730" s="21">
        <f t="shared" si="735"/>
        <v>0</v>
      </c>
      <c r="K730" s="21">
        <f t="shared" si="736"/>
        <v>0</v>
      </c>
      <c r="L730" s="21">
        <v>0</v>
      </c>
      <c r="M730" s="21">
        <f t="shared" si="737"/>
        <v>0</v>
      </c>
      <c r="N730" s="35" t="s">
        <v>2417</v>
      </c>
      <c r="O730" s="39"/>
      <c r="U730" s="41">
        <f t="shared" si="738"/>
        <v>0</v>
      </c>
      <c r="W730" s="41">
        <f t="shared" si="739"/>
        <v>0</v>
      </c>
      <c r="X730" s="41">
        <f t="shared" si="740"/>
        <v>0</v>
      </c>
      <c r="Y730" s="41">
        <f t="shared" si="741"/>
        <v>0</v>
      </c>
      <c r="Z730" s="41">
        <f t="shared" si="742"/>
        <v>0</v>
      </c>
      <c r="AA730" s="41">
        <f t="shared" si="743"/>
        <v>0</v>
      </c>
      <c r="AB730" s="41">
        <f t="shared" si="744"/>
        <v>0</v>
      </c>
      <c r="AC730" s="41">
        <f t="shared" si="745"/>
        <v>0</v>
      </c>
      <c r="AD730" s="31"/>
      <c r="AE730" s="21">
        <f t="shared" si="746"/>
        <v>0</v>
      </c>
      <c r="AF730" s="21">
        <f t="shared" si="747"/>
        <v>0</v>
      </c>
      <c r="AG730" s="21">
        <f t="shared" si="748"/>
        <v>0</v>
      </c>
      <c r="AI730" s="41">
        <v>21</v>
      </c>
      <c r="AJ730" s="41">
        <f>H730*0.00859422958870473</f>
        <v>0</v>
      </c>
      <c r="AK730" s="41">
        <f>H730*(1-0.00859422958870473)</f>
        <v>0</v>
      </c>
      <c r="AL730" s="42" t="s">
        <v>13</v>
      </c>
      <c r="AQ730" s="41">
        <f t="shared" si="751"/>
        <v>0</v>
      </c>
      <c r="AR730" s="41">
        <f t="shared" si="752"/>
        <v>0</v>
      </c>
      <c r="AS730" s="41">
        <f t="shared" si="753"/>
        <v>0</v>
      </c>
      <c r="AT730" s="44" t="s">
        <v>2452</v>
      </c>
      <c r="AU730" s="44" t="s">
        <v>2484</v>
      </c>
      <c r="AV730" s="31" t="s">
        <v>2486</v>
      </c>
      <c r="AX730" s="41">
        <f t="shared" si="754"/>
        <v>0</v>
      </c>
      <c r="AY730" s="41">
        <f t="shared" si="755"/>
        <v>0</v>
      </c>
      <c r="AZ730" s="41">
        <v>0</v>
      </c>
      <c r="BA730" s="41">
        <f t="shared" si="756"/>
        <v>0</v>
      </c>
      <c r="BC730" s="21">
        <f t="shared" si="757"/>
        <v>0</v>
      </c>
      <c r="BD730" s="21">
        <f t="shared" si="758"/>
        <v>0</v>
      </c>
      <c r="BE730" s="21">
        <f t="shared" si="759"/>
        <v>0</v>
      </c>
      <c r="BF730" s="21" t="s">
        <v>2492</v>
      </c>
      <c r="BG730" s="41">
        <v>789</v>
      </c>
    </row>
    <row r="731" spans="1:59" x14ac:dyDescent="0.3">
      <c r="A731" s="5"/>
      <c r="B731" s="14"/>
      <c r="C731" s="14" t="s">
        <v>100</v>
      </c>
      <c r="D731" s="103" t="s">
        <v>2116</v>
      </c>
      <c r="E731" s="104"/>
      <c r="F731" s="19" t="s">
        <v>6</v>
      </c>
      <c r="G731" s="19" t="s">
        <v>6</v>
      </c>
      <c r="H731" s="19" t="s">
        <v>6</v>
      </c>
      <c r="I731" s="47">
        <f>SUM(I732:I732)</f>
        <v>0</v>
      </c>
      <c r="J731" s="47">
        <f>SUM(J732:J732)</f>
        <v>0</v>
      </c>
      <c r="K731" s="47">
        <f>SUM(K732:K732)</f>
        <v>0</v>
      </c>
      <c r="L731" s="31"/>
      <c r="M731" s="47">
        <f>SUM(M732:M732)</f>
        <v>1.67164</v>
      </c>
      <c r="N731" s="36"/>
      <c r="O731" s="39"/>
      <c r="AD731" s="31"/>
      <c r="AN731" s="47">
        <f>SUM(AE732:AE732)</f>
        <v>0</v>
      </c>
      <c r="AO731" s="47">
        <f>SUM(AF732:AF732)</f>
        <v>0</v>
      </c>
      <c r="AP731" s="47">
        <f>SUM(AG732:AG732)</f>
        <v>0</v>
      </c>
    </row>
    <row r="732" spans="1:59" x14ac:dyDescent="0.3">
      <c r="A732" s="4" t="s">
        <v>710</v>
      </c>
      <c r="B732" s="13"/>
      <c r="C732" s="13" t="s">
        <v>1310</v>
      </c>
      <c r="D732" s="101" t="s">
        <v>2117</v>
      </c>
      <c r="E732" s="102"/>
      <c r="F732" s="13" t="s">
        <v>2387</v>
      </c>
      <c r="G732" s="21">
        <v>1058</v>
      </c>
      <c r="H732" s="21">
        <v>0</v>
      </c>
      <c r="I732" s="21">
        <f>G732*AJ732</f>
        <v>0</v>
      </c>
      <c r="J732" s="21">
        <f>G732*AK732</f>
        <v>0</v>
      </c>
      <c r="K732" s="21">
        <f>G732*H732</f>
        <v>0</v>
      </c>
      <c r="L732" s="21">
        <v>1.58E-3</v>
      </c>
      <c r="M732" s="21">
        <f>G732*L732</f>
        <v>1.67164</v>
      </c>
      <c r="N732" s="35" t="s">
        <v>2417</v>
      </c>
      <c r="O732" s="39"/>
      <c r="U732" s="41">
        <f>IF(AL732="5",BE732,0)</f>
        <v>0</v>
      </c>
      <c r="W732" s="41">
        <f>IF(AL732="1",BC732,0)</f>
        <v>0</v>
      </c>
      <c r="X732" s="41">
        <f>IF(AL732="1",BD732,0)</f>
        <v>0</v>
      </c>
      <c r="Y732" s="41">
        <f>IF(AL732="7",BC732,0)</f>
        <v>0</v>
      </c>
      <c r="Z732" s="41">
        <f>IF(AL732="7",BD732,0)</f>
        <v>0</v>
      </c>
      <c r="AA732" s="41">
        <f>IF(AL732="2",BC732,0)</f>
        <v>0</v>
      </c>
      <c r="AB732" s="41">
        <f>IF(AL732="2",BD732,0)</f>
        <v>0</v>
      </c>
      <c r="AC732" s="41">
        <f>IF(AL732="0",BE732,0)</f>
        <v>0</v>
      </c>
      <c r="AD732" s="31"/>
      <c r="AE732" s="21">
        <f>IF(AI732=0,K732,0)</f>
        <v>0</v>
      </c>
      <c r="AF732" s="21">
        <f>IF(AI732=15,K732,0)</f>
        <v>0</v>
      </c>
      <c r="AG732" s="21">
        <f>IF(AI732=21,K732,0)</f>
        <v>0</v>
      </c>
      <c r="AI732" s="41">
        <v>21</v>
      </c>
      <c r="AJ732" s="41">
        <f>H732*0.348243030344544</f>
        <v>0</v>
      </c>
      <c r="AK732" s="41">
        <f>H732*(1-0.348243030344544)</f>
        <v>0</v>
      </c>
      <c r="AL732" s="42" t="s">
        <v>7</v>
      </c>
      <c r="AQ732" s="41">
        <f>AR732+AS732</f>
        <v>0</v>
      </c>
      <c r="AR732" s="41">
        <f>G732*AJ732</f>
        <v>0</v>
      </c>
      <c r="AS732" s="41">
        <f>G732*AK732</f>
        <v>0</v>
      </c>
      <c r="AT732" s="44" t="s">
        <v>2453</v>
      </c>
      <c r="AU732" s="44" t="s">
        <v>2485</v>
      </c>
      <c r="AV732" s="31" t="s">
        <v>2486</v>
      </c>
      <c r="AX732" s="41">
        <f>AR732+AS732</f>
        <v>0</v>
      </c>
      <c r="AY732" s="41">
        <f>H732/(100-AZ732)*100</f>
        <v>0</v>
      </c>
      <c r="AZ732" s="41">
        <v>0</v>
      </c>
      <c r="BA732" s="41">
        <f>M732</f>
        <v>1.67164</v>
      </c>
      <c r="BC732" s="21">
        <f>G732*AJ732</f>
        <v>0</v>
      </c>
      <c r="BD732" s="21">
        <f>G732*AK732</f>
        <v>0</v>
      </c>
      <c r="BE732" s="21">
        <f>G732*H732</f>
        <v>0</v>
      </c>
      <c r="BF732" s="21" t="s">
        <v>2492</v>
      </c>
      <c r="BG732" s="41">
        <v>94</v>
      </c>
    </row>
    <row r="733" spans="1:59" x14ac:dyDescent="0.3">
      <c r="A733" s="5"/>
      <c r="B733" s="14"/>
      <c r="C733" s="14" t="s">
        <v>1311</v>
      </c>
      <c r="D733" s="103" t="s">
        <v>2118</v>
      </c>
      <c r="E733" s="104"/>
      <c r="F733" s="19" t="s">
        <v>6</v>
      </c>
      <c r="G733" s="19" t="s">
        <v>6</v>
      </c>
      <c r="H733" s="19" t="s">
        <v>6</v>
      </c>
      <c r="I733" s="47">
        <f>SUM(I734:I734)</f>
        <v>0</v>
      </c>
      <c r="J733" s="47">
        <f>SUM(J734:J734)</f>
        <v>0</v>
      </c>
      <c r="K733" s="47">
        <f>SUM(K734:K734)</f>
        <v>0</v>
      </c>
      <c r="L733" s="31"/>
      <c r="M733" s="47">
        <f>SUM(M734:M734)</f>
        <v>0</v>
      </c>
      <c r="N733" s="36"/>
      <c r="O733" s="39"/>
      <c r="AD733" s="31"/>
      <c r="AN733" s="47">
        <f>SUM(AE734:AE734)</f>
        <v>0</v>
      </c>
      <c r="AO733" s="47">
        <f>SUM(AF734:AF734)</f>
        <v>0</v>
      </c>
      <c r="AP733" s="47">
        <f>SUM(AG734:AG734)</f>
        <v>0</v>
      </c>
    </row>
    <row r="734" spans="1:59" x14ac:dyDescent="0.3">
      <c r="A734" s="4" t="s">
        <v>711</v>
      </c>
      <c r="B734" s="13"/>
      <c r="C734" s="13" t="s">
        <v>1312</v>
      </c>
      <c r="D734" s="101" t="s">
        <v>2119</v>
      </c>
      <c r="E734" s="102"/>
      <c r="F734" s="13" t="s">
        <v>2389</v>
      </c>
      <c r="G734" s="21">
        <v>65.8566</v>
      </c>
      <c r="H734" s="21">
        <v>0</v>
      </c>
      <c r="I734" s="21">
        <f>G734*AJ734</f>
        <v>0</v>
      </c>
      <c r="J734" s="21">
        <f>G734*AK734</f>
        <v>0</v>
      </c>
      <c r="K734" s="21">
        <f>G734*H734</f>
        <v>0</v>
      </c>
      <c r="L734" s="21">
        <v>0</v>
      </c>
      <c r="M734" s="21">
        <f>G734*L734</f>
        <v>0</v>
      </c>
      <c r="N734" s="35" t="s">
        <v>2417</v>
      </c>
      <c r="O734" s="39"/>
      <c r="U734" s="41">
        <f>IF(AL734="5",BE734,0)</f>
        <v>0</v>
      </c>
      <c r="W734" s="41">
        <f>IF(AL734="1",BC734,0)</f>
        <v>0</v>
      </c>
      <c r="X734" s="41">
        <f>IF(AL734="1",BD734,0)</f>
        <v>0</v>
      </c>
      <c r="Y734" s="41">
        <f>IF(AL734="7",BC734,0)</f>
        <v>0</v>
      </c>
      <c r="Z734" s="41">
        <f>IF(AL734="7",BD734,0)</f>
        <v>0</v>
      </c>
      <c r="AA734" s="41">
        <f>IF(AL734="2",BC734,0)</f>
        <v>0</v>
      </c>
      <c r="AB734" s="41">
        <f>IF(AL734="2",BD734,0)</f>
        <v>0</v>
      </c>
      <c r="AC734" s="41">
        <f>IF(AL734="0",BE734,0)</f>
        <v>0</v>
      </c>
      <c r="AD734" s="31"/>
      <c r="AE734" s="21">
        <f>IF(AI734=0,K734,0)</f>
        <v>0</v>
      </c>
      <c r="AF734" s="21">
        <f>IF(AI734=15,K734,0)</f>
        <v>0</v>
      </c>
      <c r="AG734" s="21">
        <f>IF(AI734=21,K734,0)</f>
        <v>0</v>
      </c>
      <c r="AI734" s="41">
        <v>21</v>
      </c>
      <c r="AJ734" s="41">
        <f>H734*0</f>
        <v>0</v>
      </c>
      <c r="AK734" s="41">
        <f>H734*(1-0)</f>
        <v>0</v>
      </c>
      <c r="AL734" s="42" t="s">
        <v>11</v>
      </c>
      <c r="AQ734" s="41">
        <f>AR734+AS734</f>
        <v>0</v>
      </c>
      <c r="AR734" s="41">
        <f>G734*AJ734</f>
        <v>0</v>
      </c>
      <c r="AS734" s="41">
        <f>G734*AK734</f>
        <v>0</v>
      </c>
      <c r="AT734" s="44" t="s">
        <v>2454</v>
      </c>
      <c r="AU734" s="44" t="s">
        <v>2485</v>
      </c>
      <c r="AV734" s="31" t="s">
        <v>2486</v>
      </c>
      <c r="AX734" s="41">
        <f>AR734+AS734</f>
        <v>0</v>
      </c>
      <c r="AY734" s="41">
        <f>H734/(100-AZ734)*100</f>
        <v>0</v>
      </c>
      <c r="AZ734" s="41">
        <v>0</v>
      </c>
      <c r="BA734" s="41">
        <f>M734</f>
        <v>0</v>
      </c>
      <c r="BC734" s="21">
        <f>G734*AJ734</f>
        <v>0</v>
      </c>
      <c r="BD734" s="21">
        <f>G734*AK734</f>
        <v>0</v>
      </c>
      <c r="BE734" s="21">
        <f>G734*H734</f>
        <v>0</v>
      </c>
      <c r="BF734" s="21" t="s">
        <v>2492</v>
      </c>
      <c r="BG734" s="41" t="s">
        <v>1311</v>
      </c>
    </row>
    <row r="735" spans="1:59" x14ac:dyDescent="0.3">
      <c r="A735" s="5"/>
      <c r="B735" s="14"/>
      <c r="C735" s="14" t="s">
        <v>1313</v>
      </c>
      <c r="D735" s="103" t="s">
        <v>1700</v>
      </c>
      <c r="E735" s="104"/>
      <c r="F735" s="19" t="s">
        <v>6</v>
      </c>
      <c r="G735" s="19" t="s">
        <v>6</v>
      </c>
      <c r="H735" s="19" t="s">
        <v>6</v>
      </c>
      <c r="I735" s="47">
        <f>SUM(I736:I736)</f>
        <v>0</v>
      </c>
      <c r="J735" s="47">
        <f>SUM(J736:J736)</f>
        <v>0</v>
      </c>
      <c r="K735" s="47">
        <f>SUM(K736:K736)</f>
        <v>0</v>
      </c>
      <c r="L735" s="31"/>
      <c r="M735" s="47">
        <f>SUM(M736:M736)</f>
        <v>0</v>
      </c>
      <c r="N735" s="36"/>
      <c r="O735" s="39"/>
      <c r="AD735" s="31"/>
      <c r="AN735" s="47">
        <f>SUM(AE736:AE736)</f>
        <v>0</v>
      </c>
      <c r="AO735" s="47">
        <f>SUM(AF736:AF736)</f>
        <v>0</v>
      </c>
      <c r="AP735" s="47">
        <f>SUM(AG736:AG736)</f>
        <v>0</v>
      </c>
    </row>
    <row r="736" spans="1:59" x14ac:dyDescent="0.3">
      <c r="A736" s="4" t="s">
        <v>712</v>
      </c>
      <c r="B736" s="13"/>
      <c r="C736" s="13" t="s">
        <v>1314</v>
      </c>
      <c r="D736" s="101" t="s">
        <v>2120</v>
      </c>
      <c r="E736" s="102"/>
      <c r="F736" s="13" t="s">
        <v>2389</v>
      </c>
      <c r="G736" s="21">
        <v>13.5664</v>
      </c>
      <c r="H736" s="21">
        <v>0</v>
      </c>
      <c r="I736" s="21">
        <f>G736*AJ736</f>
        <v>0</v>
      </c>
      <c r="J736" s="21">
        <f>G736*AK736</f>
        <v>0</v>
      </c>
      <c r="K736" s="21">
        <f>G736*H736</f>
        <v>0</v>
      </c>
      <c r="L736" s="21">
        <v>0</v>
      </c>
      <c r="M736" s="21">
        <f>G736*L736</f>
        <v>0</v>
      </c>
      <c r="N736" s="35" t="s">
        <v>2417</v>
      </c>
      <c r="O736" s="39"/>
      <c r="U736" s="41">
        <f>IF(AL736="5",BE736,0)</f>
        <v>0</v>
      </c>
      <c r="W736" s="41">
        <f>IF(AL736="1",BC736,0)</f>
        <v>0</v>
      </c>
      <c r="X736" s="41">
        <f>IF(AL736="1",BD736,0)</f>
        <v>0</v>
      </c>
      <c r="Y736" s="41">
        <f>IF(AL736="7",BC736,0)</f>
        <v>0</v>
      </c>
      <c r="Z736" s="41">
        <f>IF(AL736="7",BD736,0)</f>
        <v>0</v>
      </c>
      <c r="AA736" s="41">
        <f>IF(AL736="2",BC736,0)</f>
        <v>0</v>
      </c>
      <c r="AB736" s="41">
        <f>IF(AL736="2",BD736,0)</f>
        <v>0</v>
      </c>
      <c r="AC736" s="41">
        <f>IF(AL736="0",BE736,0)</f>
        <v>0</v>
      </c>
      <c r="AD736" s="31"/>
      <c r="AE736" s="21">
        <f>IF(AI736=0,K736,0)</f>
        <v>0</v>
      </c>
      <c r="AF736" s="21">
        <f>IF(AI736=15,K736,0)</f>
        <v>0</v>
      </c>
      <c r="AG736" s="21">
        <f>IF(AI736=21,K736,0)</f>
        <v>0</v>
      </c>
      <c r="AI736" s="41">
        <v>21</v>
      </c>
      <c r="AJ736" s="41">
        <f>H736*0</f>
        <v>0</v>
      </c>
      <c r="AK736" s="41">
        <f>H736*(1-0)</f>
        <v>0</v>
      </c>
      <c r="AL736" s="42" t="s">
        <v>11</v>
      </c>
      <c r="AQ736" s="41">
        <f>AR736+AS736</f>
        <v>0</v>
      </c>
      <c r="AR736" s="41">
        <f>G736*AJ736</f>
        <v>0</v>
      </c>
      <c r="AS736" s="41">
        <f>G736*AK736</f>
        <v>0</v>
      </c>
      <c r="AT736" s="44" t="s">
        <v>2455</v>
      </c>
      <c r="AU736" s="44" t="s">
        <v>2485</v>
      </c>
      <c r="AV736" s="31" t="s">
        <v>2486</v>
      </c>
      <c r="AX736" s="41">
        <f>AR736+AS736</f>
        <v>0</v>
      </c>
      <c r="AY736" s="41">
        <f>H736/(100-AZ736)*100</f>
        <v>0</v>
      </c>
      <c r="AZ736" s="41">
        <v>0</v>
      </c>
      <c r="BA736" s="41">
        <f>M736</f>
        <v>0</v>
      </c>
      <c r="BC736" s="21">
        <f>G736*AJ736</f>
        <v>0</v>
      </c>
      <c r="BD736" s="21">
        <f>G736*AK736</f>
        <v>0</v>
      </c>
      <c r="BE736" s="21">
        <f>G736*H736</f>
        <v>0</v>
      </c>
      <c r="BF736" s="21" t="s">
        <v>2492</v>
      </c>
      <c r="BG736" s="41" t="s">
        <v>1313</v>
      </c>
    </row>
    <row r="737" spans="1:59" x14ac:dyDescent="0.3">
      <c r="A737" s="5"/>
      <c r="B737" s="14"/>
      <c r="C737" s="14" t="s">
        <v>1315</v>
      </c>
      <c r="D737" s="103" t="s">
        <v>2121</v>
      </c>
      <c r="E737" s="104"/>
      <c r="F737" s="19" t="s">
        <v>6</v>
      </c>
      <c r="G737" s="19" t="s">
        <v>6</v>
      </c>
      <c r="H737" s="19" t="s">
        <v>6</v>
      </c>
      <c r="I737" s="47">
        <f>SUM(I738:I738)</f>
        <v>0</v>
      </c>
      <c r="J737" s="47">
        <f>SUM(J738:J738)</f>
        <v>0</v>
      </c>
      <c r="K737" s="47">
        <f>SUM(K738:K738)</f>
        <v>0</v>
      </c>
      <c r="L737" s="31"/>
      <c r="M737" s="47">
        <f>SUM(M738:M738)</f>
        <v>0</v>
      </c>
      <c r="N737" s="36"/>
      <c r="O737" s="39"/>
      <c r="AD737" s="31"/>
      <c r="AN737" s="47">
        <f>SUM(AE738:AE738)</f>
        <v>0</v>
      </c>
      <c r="AO737" s="47">
        <f>SUM(AF738:AF738)</f>
        <v>0</v>
      </c>
      <c r="AP737" s="47">
        <f>SUM(AG738:AG738)</f>
        <v>0</v>
      </c>
    </row>
    <row r="738" spans="1:59" x14ac:dyDescent="0.3">
      <c r="A738" s="4" t="s">
        <v>713</v>
      </c>
      <c r="B738" s="13"/>
      <c r="C738" s="13" t="s">
        <v>1316</v>
      </c>
      <c r="D738" s="101" t="s">
        <v>2122</v>
      </c>
      <c r="E738" s="102"/>
      <c r="F738" s="13" t="s">
        <v>2389</v>
      </c>
      <c r="G738" s="21">
        <v>4.5</v>
      </c>
      <c r="H738" s="21">
        <v>0</v>
      </c>
      <c r="I738" s="21">
        <f>G738*AJ738</f>
        <v>0</v>
      </c>
      <c r="J738" s="21">
        <f>G738*AK738</f>
        <v>0</v>
      </c>
      <c r="K738" s="21">
        <f>G738*H738</f>
        <v>0</v>
      </c>
      <c r="L738" s="21">
        <v>0</v>
      </c>
      <c r="M738" s="21">
        <f>G738*L738</f>
        <v>0</v>
      </c>
      <c r="N738" s="35" t="s">
        <v>2417</v>
      </c>
      <c r="O738" s="39"/>
      <c r="U738" s="41">
        <f>IF(AL738="5",BE738,0)</f>
        <v>0</v>
      </c>
      <c r="W738" s="41">
        <f>IF(AL738="1",BC738,0)</f>
        <v>0</v>
      </c>
      <c r="X738" s="41">
        <f>IF(AL738="1",BD738,0)</f>
        <v>0</v>
      </c>
      <c r="Y738" s="41">
        <f>IF(AL738="7",BC738,0)</f>
        <v>0</v>
      </c>
      <c r="Z738" s="41">
        <f>IF(AL738="7",BD738,0)</f>
        <v>0</v>
      </c>
      <c r="AA738" s="41">
        <f>IF(AL738="2",BC738,0)</f>
        <v>0</v>
      </c>
      <c r="AB738" s="41">
        <f>IF(AL738="2",BD738,0)</f>
        <v>0</v>
      </c>
      <c r="AC738" s="41">
        <f>IF(AL738="0",BE738,0)</f>
        <v>0</v>
      </c>
      <c r="AD738" s="31"/>
      <c r="AE738" s="21">
        <f>IF(AI738=0,K738,0)</f>
        <v>0</v>
      </c>
      <c r="AF738" s="21">
        <f>IF(AI738=15,K738,0)</f>
        <v>0</v>
      </c>
      <c r="AG738" s="21">
        <f>IF(AI738=21,K738,0)</f>
        <v>0</v>
      </c>
      <c r="AI738" s="41">
        <v>21</v>
      </c>
      <c r="AJ738" s="41">
        <f>H738*0</f>
        <v>0</v>
      </c>
      <c r="AK738" s="41">
        <f>H738*(1-0)</f>
        <v>0</v>
      </c>
      <c r="AL738" s="42" t="s">
        <v>11</v>
      </c>
      <c r="AQ738" s="41">
        <f>AR738+AS738</f>
        <v>0</v>
      </c>
      <c r="AR738" s="41">
        <f>G738*AJ738</f>
        <v>0</v>
      </c>
      <c r="AS738" s="41">
        <f>G738*AK738</f>
        <v>0</v>
      </c>
      <c r="AT738" s="44" t="s">
        <v>2456</v>
      </c>
      <c r="AU738" s="44" t="s">
        <v>2485</v>
      </c>
      <c r="AV738" s="31" t="s">
        <v>2486</v>
      </c>
      <c r="AX738" s="41">
        <f>AR738+AS738</f>
        <v>0</v>
      </c>
      <c r="AY738" s="41">
        <f>H738/(100-AZ738)*100</f>
        <v>0</v>
      </c>
      <c r="AZ738" s="41">
        <v>0</v>
      </c>
      <c r="BA738" s="41">
        <f>M738</f>
        <v>0</v>
      </c>
      <c r="BC738" s="21">
        <f>G738*AJ738</f>
        <v>0</v>
      </c>
      <c r="BD738" s="21">
        <f>G738*AK738</f>
        <v>0</v>
      </c>
      <c r="BE738" s="21">
        <f>G738*H738</f>
        <v>0</v>
      </c>
      <c r="BF738" s="21" t="s">
        <v>2492</v>
      </c>
      <c r="BG738" s="41" t="s">
        <v>1315</v>
      </c>
    </row>
    <row r="739" spans="1:59" x14ac:dyDescent="0.3">
      <c r="A739" s="5"/>
      <c r="B739" s="14"/>
      <c r="C739" s="14" t="s">
        <v>1317</v>
      </c>
      <c r="D739" s="103" t="s">
        <v>2123</v>
      </c>
      <c r="E739" s="104"/>
      <c r="F739" s="19" t="s">
        <v>6</v>
      </c>
      <c r="G739" s="19" t="s">
        <v>6</v>
      </c>
      <c r="H739" s="19" t="s">
        <v>6</v>
      </c>
      <c r="I739" s="47">
        <f>SUM(I740:I740)</f>
        <v>0</v>
      </c>
      <c r="J739" s="47">
        <f>SUM(J740:J740)</f>
        <v>0</v>
      </c>
      <c r="K739" s="47">
        <f>SUM(K740:K740)</f>
        <v>0</v>
      </c>
      <c r="L739" s="31"/>
      <c r="M739" s="47">
        <f>SUM(M740:M740)</f>
        <v>0</v>
      </c>
      <c r="N739" s="36"/>
      <c r="O739" s="39"/>
      <c r="AD739" s="31"/>
      <c r="AN739" s="47">
        <f>SUM(AE740:AE740)</f>
        <v>0</v>
      </c>
      <c r="AO739" s="47">
        <f>SUM(AF740:AF740)</f>
        <v>0</v>
      </c>
      <c r="AP739" s="47">
        <f>SUM(AG740:AG740)</f>
        <v>0</v>
      </c>
    </row>
    <row r="740" spans="1:59" x14ac:dyDescent="0.3">
      <c r="A740" s="4" t="s">
        <v>714</v>
      </c>
      <c r="B740" s="13"/>
      <c r="C740" s="13" t="s">
        <v>1318</v>
      </c>
      <c r="D740" s="101" t="s">
        <v>2124</v>
      </c>
      <c r="E740" s="102"/>
      <c r="F740" s="13" t="s">
        <v>2389</v>
      </c>
      <c r="G740" s="21">
        <v>2.5219999999999998</v>
      </c>
      <c r="H740" s="21">
        <v>0</v>
      </c>
      <c r="I740" s="21">
        <f>G740*AJ740</f>
        <v>0</v>
      </c>
      <c r="J740" s="21">
        <f>G740*AK740</f>
        <v>0</v>
      </c>
      <c r="K740" s="21">
        <f>G740*H740</f>
        <v>0</v>
      </c>
      <c r="L740" s="21">
        <v>0</v>
      </c>
      <c r="M740" s="21">
        <f>G740*L740</f>
        <v>0</v>
      </c>
      <c r="N740" s="35" t="s">
        <v>2417</v>
      </c>
      <c r="O740" s="39"/>
      <c r="U740" s="41">
        <f>IF(AL740="5",BE740,0)</f>
        <v>0</v>
      </c>
      <c r="W740" s="41">
        <f>IF(AL740="1",BC740,0)</f>
        <v>0</v>
      </c>
      <c r="X740" s="41">
        <f>IF(AL740="1",BD740,0)</f>
        <v>0</v>
      </c>
      <c r="Y740" s="41">
        <f>IF(AL740="7",BC740,0)</f>
        <v>0</v>
      </c>
      <c r="Z740" s="41">
        <f>IF(AL740="7",BD740,0)</f>
        <v>0</v>
      </c>
      <c r="AA740" s="41">
        <f>IF(AL740="2",BC740,0)</f>
        <v>0</v>
      </c>
      <c r="AB740" s="41">
        <f>IF(AL740="2",BD740,0)</f>
        <v>0</v>
      </c>
      <c r="AC740" s="41">
        <f>IF(AL740="0",BE740,0)</f>
        <v>0</v>
      </c>
      <c r="AD740" s="31"/>
      <c r="AE740" s="21">
        <f>IF(AI740=0,K740,0)</f>
        <v>0</v>
      </c>
      <c r="AF740" s="21">
        <f>IF(AI740=15,K740,0)</f>
        <v>0</v>
      </c>
      <c r="AG740" s="21">
        <f>IF(AI740=21,K740,0)</f>
        <v>0</v>
      </c>
      <c r="AI740" s="41">
        <v>21</v>
      </c>
      <c r="AJ740" s="41">
        <f>H740*0</f>
        <v>0</v>
      </c>
      <c r="AK740" s="41">
        <f>H740*(1-0)</f>
        <v>0</v>
      </c>
      <c r="AL740" s="42" t="s">
        <v>11</v>
      </c>
      <c r="AQ740" s="41">
        <f>AR740+AS740</f>
        <v>0</v>
      </c>
      <c r="AR740" s="41">
        <f>G740*AJ740</f>
        <v>0</v>
      </c>
      <c r="AS740" s="41">
        <f>G740*AK740</f>
        <v>0</v>
      </c>
      <c r="AT740" s="44" t="s">
        <v>2457</v>
      </c>
      <c r="AU740" s="44" t="s">
        <v>2485</v>
      </c>
      <c r="AV740" s="31" t="s">
        <v>2486</v>
      </c>
      <c r="AX740" s="41">
        <f>AR740+AS740</f>
        <v>0</v>
      </c>
      <c r="AY740" s="41">
        <f>H740/(100-AZ740)*100</f>
        <v>0</v>
      </c>
      <c r="AZ740" s="41">
        <v>0</v>
      </c>
      <c r="BA740" s="41">
        <f>M740</f>
        <v>0</v>
      </c>
      <c r="BC740" s="21">
        <f>G740*AJ740</f>
        <v>0</v>
      </c>
      <c r="BD740" s="21">
        <f>G740*AK740</f>
        <v>0</v>
      </c>
      <c r="BE740" s="21">
        <f>G740*H740</f>
        <v>0</v>
      </c>
      <c r="BF740" s="21" t="s">
        <v>2492</v>
      </c>
      <c r="BG740" s="41" t="s">
        <v>1317</v>
      </c>
    </row>
    <row r="741" spans="1:59" x14ac:dyDescent="0.3">
      <c r="A741" s="5"/>
      <c r="B741" s="14"/>
      <c r="C741" s="14" t="s">
        <v>1319</v>
      </c>
      <c r="D741" s="103" t="s">
        <v>2125</v>
      </c>
      <c r="E741" s="104"/>
      <c r="F741" s="19" t="s">
        <v>6</v>
      </c>
      <c r="G741" s="19" t="s">
        <v>6</v>
      </c>
      <c r="H741" s="19" t="s">
        <v>6</v>
      </c>
      <c r="I741" s="47">
        <f>SUM(I742:I742)</f>
        <v>0</v>
      </c>
      <c r="J741" s="47">
        <f>SUM(J742:J742)</f>
        <v>0</v>
      </c>
      <c r="K741" s="47">
        <f>SUM(K742:K742)</f>
        <v>0</v>
      </c>
      <c r="L741" s="31"/>
      <c r="M741" s="47">
        <f>SUM(M742:M742)</f>
        <v>0</v>
      </c>
      <c r="N741" s="36"/>
      <c r="O741" s="39"/>
      <c r="AD741" s="31"/>
      <c r="AN741" s="47">
        <f>SUM(AE742:AE742)</f>
        <v>0</v>
      </c>
      <c r="AO741" s="47">
        <f>SUM(AF742:AF742)</f>
        <v>0</v>
      </c>
      <c r="AP741" s="47">
        <f>SUM(AG742:AG742)</f>
        <v>0</v>
      </c>
    </row>
    <row r="742" spans="1:59" x14ac:dyDescent="0.3">
      <c r="A742" s="4" t="s">
        <v>715</v>
      </c>
      <c r="B742" s="13"/>
      <c r="C742" s="13" t="s">
        <v>1320</v>
      </c>
      <c r="D742" s="101" t="s">
        <v>2126</v>
      </c>
      <c r="E742" s="102"/>
      <c r="F742" s="13" t="s">
        <v>2389</v>
      </c>
      <c r="G742" s="21">
        <v>3.5354999999999999</v>
      </c>
      <c r="H742" s="21">
        <v>0</v>
      </c>
      <c r="I742" s="21">
        <f>G742*AJ742</f>
        <v>0</v>
      </c>
      <c r="J742" s="21">
        <f>G742*AK742</f>
        <v>0</v>
      </c>
      <c r="K742" s="21">
        <f>G742*H742</f>
        <v>0</v>
      </c>
      <c r="L742" s="21">
        <v>0</v>
      </c>
      <c r="M742" s="21">
        <f>G742*L742</f>
        <v>0</v>
      </c>
      <c r="N742" s="35" t="s">
        <v>2417</v>
      </c>
      <c r="O742" s="39"/>
      <c r="U742" s="41">
        <f>IF(AL742="5",BE742,0)</f>
        <v>0</v>
      </c>
      <c r="W742" s="41">
        <f>IF(AL742="1",BC742,0)</f>
        <v>0</v>
      </c>
      <c r="X742" s="41">
        <f>IF(AL742="1",BD742,0)</f>
        <v>0</v>
      </c>
      <c r="Y742" s="41">
        <f>IF(AL742="7",BC742,0)</f>
        <v>0</v>
      </c>
      <c r="Z742" s="41">
        <f>IF(AL742="7",BD742,0)</f>
        <v>0</v>
      </c>
      <c r="AA742" s="41">
        <f>IF(AL742="2",BC742,0)</f>
        <v>0</v>
      </c>
      <c r="AB742" s="41">
        <f>IF(AL742="2",BD742,0)</f>
        <v>0</v>
      </c>
      <c r="AC742" s="41">
        <f>IF(AL742="0",BE742,0)</f>
        <v>0</v>
      </c>
      <c r="AD742" s="31"/>
      <c r="AE742" s="21">
        <f>IF(AI742=0,K742,0)</f>
        <v>0</v>
      </c>
      <c r="AF742" s="21">
        <f>IF(AI742=15,K742,0)</f>
        <v>0</v>
      </c>
      <c r="AG742" s="21">
        <f>IF(AI742=21,K742,0)</f>
        <v>0</v>
      </c>
      <c r="AI742" s="41">
        <v>21</v>
      </c>
      <c r="AJ742" s="41">
        <f>H742*0</f>
        <v>0</v>
      </c>
      <c r="AK742" s="41">
        <f>H742*(1-0)</f>
        <v>0</v>
      </c>
      <c r="AL742" s="42" t="s">
        <v>11</v>
      </c>
      <c r="AQ742" s="41">
        <f>AR742+AS742</f>
        <v>0</v>
      </c>
      <c r="AR742" s="41">
        <f>G742*AJ742</f>
        <v>0</v>
      </c>
      <c r="AS742" s="41">
        <f>G742*AK742</f>
        <v>0</v>
      </c>
      <c r="AT742" s="44" t="s">
        <v>2458</v>
      </c>
      <c r="AU742" s="44" t="s">
        <v>2485</v>
      </c>
      <c r="AV742" s="31" t="s">
        <v>2486</v>
      </c>
      <c r="AX742" s="41">
        <f>AR742+AS742</f>
        <v>0</v>
      </c>
      <c r="AY742" s="41">
        <f>H742/(100-AZ742)*100</f>
        <v>0</v>
      </c>
      <c r="AZ742" s="41">
        <v>0</v>
      </c>
      <c r="BA742" s="41">
        <f>M742</f>
        <v>0</v>
      </c>
      <c r="BC742" s="21">
        <f>G742*AJ742</f>
        <v>0</v>
      </c>
      <c r="BD742" s="21">
        <f>G742*AK742</f>
        <v>0</v>
      </c>
      <c r="BE742" s="21">
        <f>G742*H742</f>
        <v>0</v>
      </c>
      <c r="BF742" s="21" t="s">
        <v>2492</v>
      </c>
      <c r="BG742" s="41" t="s">
        <v>1319</v>
      </c>
    </row>
    <row r="743" spans="1:59" x14ac:dyDescent="0.3">
      <c r="A743" s="5"/>
      <c r="B743" s="14"/>
      <c r="C743" s="14" t="s">
        <v>1321</v>
      </c>
      <c r="D743" s="103" t="s">
        <v>1758</v>
      </c>
      <c r="E743" s="104"/>
      <c r="F743" s="19" t="s">
        <v>6</v>
      </c>
      <c r="G743" s="19" t="s">
        <v>6</v>
      </c>
      <c r="H743" s="19" t="s">
        <v>6</v>
      </c>
      <c r="I743" s="47">
        <f>SUM(I744:I744)</f>
        <v>0</v>
      </c>
      <c r="J743" s="47">
        <f>SUM(J744:J744)</f>
        <v>0</v>
      </c>
      <c r="K743" s="47">
        <f>SUM(K744:K744)</f>
        <v>0</v>
      </c>
      <c r="L743" s="31"/>
      <c r="M743" s="47">
        <f>SUM(M744:M744)</f>
        <v>0</v>
      </c>
      <c r="N743" s="36"/>
      <c r="O743" s="39"/>
      <c r="AD743" s="31"/>
      <c r="AN743" s="47">
        <f>SUM(AE744:AE744)</f>
        <v>0</v>
      </c>
      <c r="AO743" s="47">
        <f>SUM(AF744:AF744)</f>
        <v>0</v>
      </c>
      <c r="AP743" s="47">
        <f>SUM(AG744:AG744)</f>
        <v>0</v>
      </c>
    </row>
    <row r="744" spans="1:59" x14ac:dyDescent="0.3">
      <c r="A744" s="4" t="s">
        <v>716</v>
      </c>
      <c r="B744" s="13"/>
      <c r="C744" s="13" t="s">
        <v>1322</v>
      </c>
      <c r="D744" s="101" t="s">
        <v>2127</v>
      </c>
      <c r="E744" s="102"/>
      <c r="F744" s="13" t="s">
        <v>2389</v>
      </c>
      <c r="G744" s="21">
        <v>1.3694999999999999</v>
      </c>
      <c r="H744" s="21">
        <v>0</v>
      </c>
      <c r="I744" s="21">
        <f>G744*AJ744</f>
        <v>0</v>
      </c>
      <c r="J744" s="21">
        <f>G744*AK744</f>
        <v>0</v>
      </c>
      <c r="K744" s="21">
        <f>G744*H744</f>
        <v>0</v>
      </c>
      <c r="L744" s="21">
        <v>0</v>
      </c>
      <c r="M744" s="21">
        <f>G744*L744</f>
        <v>0</v>
      </c>
      <c r="N744" s="35" t="s">
        <v>2417</v>
      </c>
      <c r="O744" s="39"/>
      <c r="U744" s="41">
        <f>IF(AL744="5",BE744,0)</f>
        <v>0</v>
      </c>
      <c r="W744" s="41">
        <f>IF(AL744="1",BC744,0)</f>
        <v>0</v>
      </c>
      <c r="X744" s="41">
        <f>IF(AL744="1",BD744,0)</f>
        <v>0</v>
      </c>
      <c r="Y744" s="41">
        <f>IF(AL744="7",BC744,0)</f>
        <v>0</v>
      </c>
      <c r="Z744" s="41">
        <f>IF(AL744="7",BD744,0)</f>
        <v>0</v>
      </c>
      <c r="AA744" s="41">
        <f>IF(AL744="2",BC744,0)</f>
        <v>0</v>
      </c>
      <c r="AB744" s="41">
        <f>IF(AL744="2",BD744,0)</f>
        <v>0</v>
      </c>
      <c r="AC744" s="41">
        <f>IF(AL744="0",BE744,0)</f>
        <v>0</v>
      </c>
      <c r="AD744" s="31"/>
      <c r="AE744" s="21">
        <f>IF(AI744=0,K744,0)</f>
        <v>0</v>
      </c>
      <c r="AF744" s="21">
        <f>IF(AI744=15,K744,0)</f>
        <v>0</v>
      </c>
      <c r="AG744" s="21">
        <f>IF(AI744=21,K744,0)</f>
        <v>0</v>
      </c>
      <c r="AI744" s="41">
        <v>21</v>
      </c>
      <c r="AJ744" s="41">
        <f>H744*0</f>
        <v>0</v>
      </c>
      <c r="AK744" s="41">
        <f>H744*(1-0)</f>
        <v>0</v>
      </c>
      <c r="AL744" s="42" t="s">
        <v>11</v>
      </c>
      <c r="AQ744" s="41">
        <f>AR744+AS744</f>
        <v>0</v>
      </c>
      <c r="AR744" s="41">
        <f>G744*AJ744</f>
        <v>0</v>
      </c>
      <c r="AS744" s="41">
        <f>G744*AK744</f>
        <v>0</v>
      </c>
      <c r="AT744" s="44" t="s">
        <v>2459</v>
      </c>
      <c r="AU744" s="44" t="s">
        <v>2485</v>
      </c>
      <c r="AV744" s="31" t="s">
        <v>2486</v>
      </c>
      <c r="AX744" s="41">
        <f>AR744+AS744</f>
        <v>0</v>
      </c>
      <c r="AY744" s="41">
        <f>H744/(100-AZ744)*100</f>
        <v>0</v>
      </c>
      <c r="AZ744" s="41">
        <v>0</v>
      </c>
      <c r="BA744" s="41">
        <f>M744</f>
        <v>0</v>
      </c>
      <c r="BC744" s="21">
        <f>G744*AJ744</f>
        <v>0</v>
      </c>
      <c r="BD744" s="21">
        <f>G744*AK744</f>
        <v>0</v>
      </c>
      <c r="BE744" s="21">
        <f>G744*H744</f>
        <v>0</v>
      </c>
      <c r="BF744" s="21" t="s">
        <v>2492</v>
      </c>
      <c r="BG744" s="41" t="s">
        <v>1321</v>
      </c>
    </row>
    <row r="745" spans="1:59" x14ac:dyDescent="0.3">
      <c r="A745" s="5"/>
      <c r="B745" s="14"/>
      <c r="C745" s="14" t="s">
        <v>1323</v>
      </c>
      <c r="D745" s="103" t="s">
        <v>1805</v>
      </c>
      <c r="E745" s="104"/>
      <c r="F745" s="19" t="s">
        <v>6</v>
      </c>
      <c r="G745" s="19" t="s">
        <v>6</v>
      </c>
      <c r="H745" s="19" t="s">
        <v>6</v>
      </c>
      <c r="I745" s="47">
        <f>SUM(I746:I746)</f>
        <v>0</v>
      </c>
      <c r="J745" s="47">
        <f>SUM(J746:J746)</f>
        <v>0</v>
      </c>
      <c r="K745" s="47">
        <f>SUM(K746:K746)</f>
        <v>0</v>
      </c>
      <c r="L745" s="31"/>
      <c r="M745" s="47">
        <f>SUM(M746:M746)</f>
        <v>0</v>
      </c>
      <c r="N745" s="36"/>
      <c r="O745" s="39"/>
      <c r="AD745" s="31"/>
      <c r="AN745" s="47">
        <f>SUM(AE746:AE746)</f>
        <v>0</v>
      </c>
      <c r="AO745" s="47">
        <f>SUM(AF746:AF746)</f>
        <v>0</v>
      </c>
      <c r="AP745" s="47">
        <f>SUM(AG746:AG746)</f>
        <v>0</v>
      </c>
    </row>
    <row r="746" spans="1:59" x14ac:dyDescent="0.3">
      <c r="A746" s="4" t="s">
        <v>717</v>
      </c>
      <c r="B746" s="13"/>
      <c r="C746" s="13" t="s">
        <v>1324</v>
      </c>
      <c r="D746" s="101" t="s">
        <v>2128</v>
      </c>
      <c r="E746" s="102"/>
      <c r="F746" s="13" t="s">
        <v>2389</v>
      </c>
      <c r="G746" s="21">
        <v>0.25940000000000002</v>
      </c>
      <c r="H746" s="21">
        <v>0</v>
      </c>
      <c r="I746" s="21">
        <f>G746*AJ746</f>
        <v>0</v>
      </c>
      <c r="J746" s="21">
        <f>G746*AK746</f>
        <v>0</v>
      </c>
      <c r="K746" s="21">
        <f>G746*H746</f>
        <v>0</v>
      </c>
      <c r="L746" s="21">
        <v>0</v>
      </c>
      <c r="M746" s="21">
        <f>G746*L746</f>
        <v>0</v>
      </c>
      <c r="N746" s="35" t="s">
        <v>2417</v>
      </c>
      <c r="O746" s="39"/>
      <c r="U746" s="41">
        <f>IF(AL746="5",BE746,0)</f>
        <v>0</v>
      </c>
      <c r="W746" s="41">
        <f>IF(AL746="1",BC746,0)</f>
        <v>0</v>
      </c>
      <c r="X746" s="41">
        <f>IF(AL746="1",BD746,0)</f>
        <v>0</v>
      </c>
      <c r="Y746" s="41">
        <f>IF(AL746="7",BC746,0)</f>
        <v>0</v>
      </c>
      <c r="Z746" s="41">
        <f>IF(AL746="7",BD746,0)</f>
        <v>0</v>
      </c>
      <c r="AA746" s="41">
        <f>IF(AL746="2",BC746,0)</f>
        <v>0</v>
      </c>
      <c r="AB746" s="41">
        <f>IF(AL746="2",BD746,0)</f>
        <v>0</v>
      </c>
      <c r="AC746" s="41">
        <f>IF(AL746="0",BE746,0)</f>
        <v>0</v>
      </c>
      <c r="AD746" s="31"/>
      <c r="AE746" s="21">
        <f>IF(AI746=0,K746,0)</f>
        <v>0</v>
      </c>
      <c r="AF746" s="21">
        <f>IF(AI746=15,K746,0)</f>
        <v>0</v>
      </c>
      <c r="AG746" s="21">
        <f>IF(AI746=21,K746,0)</f>
        <v>0</v>
      </c>
      <c r="AI746" s="41">
        <v>21</v>
      </c>
      <c r="AJ746" s="41">
        <f>H746*0</f>
        <v>0</v>
      </c>
      <c r="AK746" s="41">
        <f>H746*(1-0)</f>
        <v>0</v>
      </c>
      <c r="AL746" s="42" t="s">
        <v>11</v>
      </c>
      <c r="AQ746" s="41">
        <f>AR746+AS746</f>
        <v>0</v>
      </c>
      <c r="AR746" s="41">
        <f>G746*AJ746</f>
        <v>0</v>
      </c>
      <c r="AS746" s="41">
        <f>G746*AK746</f>
        <v>0</v>
      </c>
      <c r="AT746" s="44" t="s">
        <v>2460</v>
      </c>
      <c r="AU746" s="44" t="s">
        <v>2485</v>
      </c>
      <c r="AV746" s="31" t="s">
        <v>2486</v>
      </c>
      <c r="AX746" s="41">
        <f>AR746+AS746</f>
        <v>0</v>
      </c>
      <c r="AY746" s="41">
        <f>H746/(100-AZ746)*100</f>
        <v>0</v>
      </c>
      <c r="AZ746" s="41">
        <v>0</v>
      </c>
      <c r="BA746" s="41">
        <f>M746</f>
        <v>0</v>
      </c>
      <c r="BC746" s="21">
        <f>G746*AJ746</f>
        <v>0</v>
      </c>
      <c r="BD746" s="21">
        <f>G746*AK746</f>
        <v>0</v>
      </c>
      <c r="BE746" s="21">
        <f>G746*H746</f>
        <v>0</v>
      </c>
      <c r="BF746" s="21" t="s">
        <v>2492</v>
      </c>
      <c r="BG746" s="41" t="s">
        <v>1323</v>
      </c>
    </row>
    <row r="747" spans="1:59" x14ac:dyDescent="0.3">
      <c r="A747" s="5"/>
      <c r="B747" s="14"/>
      <c r="C747" s="14" t="s">
        <v>1325</v>
      </c>
      <c r="D747" s="103" t="s">
        <v>2129</v>
      </c>
      <c r="E747" s="104"/>
      <c r="F747" s="19" t="s">
        <v>6</v>
      </c>
      <c r="G747" s="19" t="s">
        <v>6</v>
      </c>
      <c r="H747" s="19" t="s">
        <v>6</v>
      </c>
      <c r="I747" s="47">
        <f>SUM(I748:I748)</f>
        <v>0</v>
      </c>
      <c r="J747" s="47">
        <f>SUM(J748:J748)</f>
        <v>0</v>
      </c>
      <c r="K747" s="47">
        <f>SUM(K748:K748)</f>
        <v>0</v>
      </c>
      <c r="L747" s="31"/>
      <c r="M747" s="47">
        <f>SUM(M748:M748)</f>
        <v>0</v>
      </c>
      <c r="N747" s="36"/>
      <c r="O747" s="39"/>
      <c r="AD747" s="31"/>
      <c r="AN747" s="47">
        <f>SUM(AE748:AE748)</f>
        <v>0</v>
      </c>
      <c r="AO747" s="47">
        <f>SUM(AF748:AF748)</f>
        <v>0</v>
      </c>
      <c r="AP747" s="47">
        <f>SUM(AG748:AG748)</f>
        <v>0</v>
      </c>
    </row>
    <row r="748" spans="1:59" x14ac:dyDescent="0.3">
      <c r="A748" s="4" t="s">
        <v>718</v>
      </c>
      <c r="B748" s="13"/>
      <c r="C748" s="13" t="s">
        <v>1326</v>
      </c>
      <c r="D748" s="101" t="s">
        <v>2130</v>
      </c>
      <c r="E748" s="102"/>
      <c r="F748" s="13" t="s">
        <v>2389</v>
      </c>
      <c r="G748" s="21">
        <v>2.8</v>
      </c>
      <c r="H748" s="21">
        <v>0</v>
      </c>
      <c r="I748" s="21">
        <f>G748*AJ748</f>
        <v>0</v>
      </c>
      <c r="J748" s="21">
        <f>G748*AK748</f>
        <v>0</v>
      </c>
      <c r="K748" s="21">
        <f>G748*H748</f>
        <v>0</v>
      </c>
      <c r="L748" s="21">
        <v>0</v>
      </c>
      <c r="M748" s="21">
        <f>G748*L748</f>
        <v>0</v>
      </c>
      <c r="N748" s="35" t="s">
        <v>2417</v>
      </c>
      <c r="O748" s="39"/>
      <c r="U748" s="41">
        <f>IF(AL748="5",BE748,0)</f>
        <v>0</v>
      </c>
      <c r="W748" s="41">
        <f>IF(AL748="1",BC748,0)</f>
        <v>0</v>
      </c>
      <c r="X748" s="41">
        <f>IF(AL748="1",BD748,0)</f>
        <v>0</v>
      </c>
      <c r="Y748" s="41">
        <f>IF(AL748="7",BC748,0)</f>
        <v>0</v>
      </c>
      <c r="Z748" s="41">
        <f>IF(AL748="7",BD748,0)</f>
        <v>0</v>
      </c>
      <c r="AA748" s="41">
        <f>IF(AL748="2",BC748,0)</f>
        <v>0</v>
      </c>
      <c r="AB748" s="41">
        <f>IF(AL748="2",BD748,0)</f>
        <v>0</v>
      </c>
      <c r="AC748" s="41">
        <f>IF(AL748="0",BE748,0)</f>
        <v>0</v>
      </c>
      <c r="AD748" s="31"/>
      <c r="AE748" s="21">
        <f>IF(AI748=0,K748,0)</f>
        <v>0</v>
      </c>
      <c r="AF748" s="21">
        <f>IF(AI748=15,K748,0)</f>
        <v>0</v>
      </c>
      <c r="AG748" s="21">
        <f>IF(AI748=21,K748,0)</f>
        <v>0</v>
      </c>
      <c r="AI748" s="41">
        <v>21</v>
      </c>
      <c r="AJ748" s="41">
        <f>H748*0</f>
        <v>0</v>
      </c>
      <c r="AK748" s="41">
        <f>H748*(1-0)</f>
        <v>0</v>
      </c>
      <c r="AL748" s="42" t="s">
        <v>11</v>
      </c>
      <c r="AQ748" s="41">
        <f>AR748+AS748</f>
        <v>0</v>
      </c>
      <c r="AR748" s="41">
        <f>G748*AJ748</f>
        <v>0</v>
      </c>
      <c r="AS748" s="41">
        <f>G748*AK748</f>
        <v>0</v>
      </c>
      <c r="AT748" s="44" t="s">
        <v>2461</v>
      </c>
      <c r="AU748" s="44" t="s">
        <v>2485</v>
      </c>
      <c r="AV748" s="31" t="s">
        <v>2486</v>
      </c>
      <c r="AX748" s="41">
        <f>AR748+AS748</f>
        <v>0</v>
      </c>
      <c r="AY748" s="41">
        <f>H748/(100-AZ748)*100</f>
        <v>0</v>
      </c>
      <c r="AZ748" s="41">
        <v>0</v>
      </c>
      <c r="BA748" s="41">
        <f>M748</f>
        <v>0</v>
      </c>
      <c r="BC748" s="21">
        <f>G748*AJ748</f>
        <v>0</v>
      </c>
      <c r="BD748" s="21">
        <f>G748*AK748</f>
        <v>0</v>
      </c>
      <c r="BE748" s="21">
        <f>G748*H748</f>
        <v>0</v>
      </c>
      <c r="BF748" s="21" t="s">
        <v>2492</v>
      </c>
      <c r="BG748" s="41" t="s">
        <v>1325</v>
      </c>
    </row>
    <row r="749" spans="1:59" x14ac:dyDescent="0.3">
      <c r="A749" s="5"/>
      <c r="B749" s="14"/>
      <c r="C749" s="14" t="s">
        <v>1327</v>
      </c>
      <c r="D749" s="103" t="s">
        <v>1908</v>
      </c>
      <c r="E749" s="104"/>
      <c r="F749" s="19" t="s">
        <v>6</v>
      </c>
      <c r="G749" s="19" t="s">
        <v>6</v>
      </c>
      <c r="H749" s="19" t="s">
        <v>6</v>
      </c>
      <c r="I749" s="47">
        <f>SUM(I750:I750)</f>
        <v>0</v>
      </c>
      <c r="J749" s="47">
        <f>SUM(J750:J750)</f>
        <v>0</v>
      </c>
      <c r="K749" s="47">
        <f>SUM(K750:K750)</f>
        <v>0</v>
      </c>
      <c r="L749" s="31"/>
      <c r="M749" s="47">
        <f>SUM(M750:M750)</f>
        <v>0</v>
      </c>
      <c r="N749" s="36"/>
      <c r="O749" s="39"/>
      <c r="AD749" s="31"/>
      <c r="AN749" s="47">
        <f>SUM(AE750:AE750)</f>
        <v>0</v>
      </c>
      <c r="AO749" s="47">
        <f>SUM(AF750:AF750)</f>
        <v>0</v>
      </c>
      <c r="AP749" s="47">
        <f>SUM(AG750:AG750)</f>
        <v>0</v>
      </c>
    </row>
    <row r="750" spans="1:59" x14ac:dyDescent="0.3">
      <c r="A750" s="4" t="s">
        <v>719</v>
      </c>
      <c r="B750" s="13"/>
      <c r="C750" s="13" t="s">
        <v>1328</v>
      </c>
      <c r="D750" s="101" t="s">
        <v>2131</v>
      </c>
      <c r="E750" s="102"/>
      <c r="F750" s="13" t="s">
        <v>2389</v>
      </c>
      <c r="G750" s="21">
        <v>1.7</v>
      </c>
      <c r="H750" s="21">
        <v>0</v>
      </c>
      <c r="I750" s="21">
        <f>G750*AJ750</f>
        <v>0</v>
      </c>
      <c r="J750" s="21">
        <f>G750*AK750</f>
        <v>0</v>
      </c>
      <c r="K750" s="21">
        <f>G750*H750</f>
        <v>0</v>
      </c>
      <c r="L750" s="21">
        <v>0</v>
      </c>
      <c r="M750" s="21">
        <f>G750*L750</f>
        <v>0</v>
      </c>
      <c r="N750" s="35" t="s">
        <v>2417</v>
      </c>
      <c r="O750" s="39"/>
      <c r="U750" s="41">
        <f>IF(AL750="5",BE750,0)</f>
        <v>0</v>
      </c>
      <c r="W750" s="41">
        <f>IF(AL750="1",BC750,0)</f>
        <v>0</v>
      </c>
      <c r="X750" s="41">
        <f>IF(AL750="1",BD750,0)</f>
        <v>0</v>
      </c>
      <c r="Y750" s="41">
        <f>IF(AL750="7",BC750,0)</f>
        <v>0</v>
      </c>
      <c r="Z750" s="41">
        <f>IF(AL750="7",BD750,0)</f>
        <v>0</v>
      </c>
      <c r="AA750" s="41">
        <f>IF(AL750="2",BC750,0)</f>
        <v>0</v>
      </c>
      <c r="AB750" s="41">
        <f>IF(AL750="2",BD750,0)</f>
        <v>0</v>
      </c>
      <c r="AC750" s="41">
        <f>IF(AL750="0",BE750,0)</f>
        <v>0</v>
      </c>
      <c r="AD750" s="31"/>
      <c r="AE750" s="21">
        <f>IF(AI750=0,K750,0)</f>
        <v>0</v>
      </c>
      <c r="AF750" s="21">
        <f>IF(AI750=15,K750,0)</f>
        <v>0</v>
      </c>
      <c r="AG750" s="21">
        <f>IF(AI750=21,K750,0)</f>
        <v>0</v>
      </c>
      <c r="AI750" s="41">
        <v>21</v>
      </c>
      <c r="AJ750" s="41">
        <f>H750*0</f>
        <v>0</v>
      </c>
      <c r="AK750" s="41">
        <f>H750*(1-0)</f>
        <v>0</v>
      </c>
      <c r="AL750" s="42" t="s">
        <v>11</v>
      </c>
      <c r="AQ750" s="41">
        <f>AR750+AS750</f>
        <v>0</v>
      </c>
      <c r="AR750" s="41">
        <f>G750*AJ750</f>
        <v>0</v>
      </c>
      <c r="AS750" s="41">
        <f>G750*AK750</f>
        <v>0</v>
      </c>
      <c r="AT750" s="44" t="s">
        <v>2462</v>
      </c>
      <c r="AU750" s="44" t="s">
        <v>2485</v>
      </c>
      <c r="AV750" s="31" t="s">
        <v>2486</v>
      </c>
      <c r="AX750" s="41">
        <f>AR750+AS750</f>
        <v>0</v>
      </c>
      <c r="AY750" s="41">
        <f>H750/(100-AZ750)*100</f>
        <v>0</v>
      </c>
      <c r="AZ750" s="41">
        <v>0</v>
      </c>
      <c r="BA750" s="41">
        <f>M750</f>
        <v>0</v>
      </c>
      <c r="BC750" s="21">
        <f>G750*AJ750</f>
        <v>0</v>
      </c>
      <c r="BD750" s="21">
        <f>G750*AK750</f>
        <v>0</v>
      </c>
      <c r="BE750" s="21">
        <f>G750*H750</f>
        <v>0</v>
      </c>
      <c r="BF750" s="21" t="s">
        <v>2492</v>
      </c>
      <c r="BG750" s="41" t="s">
        <v>1327</v>
      </c>
    </row>
    <row r="751" spans="1:59" x14ac:dyDescent="0.3">
      <c r="A751" s="5"/>
      <c r="B751" s="14"/>
      <c r="C751" s="14" t="s">
        <v>1329</v>
      </c>
      <c r="D751" s="103" t="s">
        <v>1925</v>
      </c>
      <c r="E751" s="104"/>
      <c r="F751" s="19" t="s">
        <v>6</v>
      </c>
      <c r="G751" s="19" t="s">
        <v>6</v>
      </c>
      <c r="H751" s="19" t="s">
        <v>6</v>
      </c>
      <c r="I751" s="47">
        <f>SUM(I752:I752)</f>
        <v>0</v>
      </c>
      <c r="J751" s="47">
        <f>SUM(J752:J752)</f>
        <v>0</v>
      </c>
      <c r="K751" s="47">
        <f>SUM(K752:K752)</f>
        <v>0</v>
      </c>
      <c r="L751" s="31"/>
      <c r="M751" s="47">
        <f>SUM(M752:M752)</f>
        <v>0</v>
      </c>
      <c r="N751" s="36"/>
      <c r="O751" s="39"/>
      <c r="AD751" s="31"/>
      <c r="AN751" s="47">
        <f>SUM(AE752:AE752)</f>
        <v>0</v>
      </c>
      <c r="AO751" s="47">
        <f>SUM(AF752:AF752)</f>
        <v>0</v>
      </c>
      <c r="AP751" s="47">
        <f>SUM(AG752:AG752)</f>
        <v>0</v>
      </c>
    </row>
    <row r="752" spans="1:59" x14ac:dyDescent="0.3">
      <c r="A752" s="4" t="s">
        <v>720</v>
      </c>
      <c r="B752" s="13"/>
      <c r="C752" s="13" t="s">
        <v>1330</v>
      </c>
      <c r="D752" s="101" t="s">
        <v>2132</v>
      </c>
      <c r="E752" s="102"/>
      <c r="F752" s="13" t="s">
        <v>2389</v>
      </c>
      <c r="G752" s="21">
        <v>24.195900000000002</v>
      </c>
      <c r="H752" s="21">
        <v>0</v>
      </c>
      <c r="I752" s="21">
        <f>G752*AJ752</f>
        <v>0</v>
      </c>
      <c r="J752" s="21">
        <f>G752*AK752</f>
        <v>0</v>
      </c>
      <c r="K752" s="21">
        <f>G752*H752</f>
        <v>0</v>
      </c>
      <c r="L752" s="21">
        <v>0</v>
      </c>
      <c r="M752" s="21">
        <f>G752*L752</f>
        <v>0</v>
      </c>
      <c r="N752" s="35" t="s">
        <v>2417</v>
      </c>
      <c r="O752" s="39"/>
      <c r="U752" s="41">
        <f>IF(AL752="5",BE752,0)</f>
        <v>0</v>
      </c>
      <c r="W752" s="41">
        <f>IF(AL752="1",BC752,0)</f>
        <v>0</v>
      </c>
      <c r="X752" s="41">
        <f>IF(AL752="1",BD752,0)</f>
        <v>0</v>
      </c>
      <c r="Y752" s="41">
        <f>IF(AL752="7",BC752,0)</f>
        <v>0</v>
      </c>
      <c r="Z752" s="41">
        <f>IF(AL752="7",BD752,0)</f>
        <v>0</v>
      </c>
      <c r="AA752" s="41">
        <f>IF(AL752="2",BC752,0)</f>
        <v>0</v>
      </c>
      <c r="AB752" s="41">
        <f>IF(AL752="2",BD752,0)</f>
        <v>0</v>
      </c>
      <c r="AC752" s="41">
        <f>IF(AL752="0",BE752,0)</f>
        <v>0</v>
      </c>
      <c r="AD752" s="31"/>
      <c r="AE752" s="21">
        <f>IF(AI752=0,K752,0)</f>
        <v>0</v>
      </c>
      <c r="AF752" s="21">
        <f>IF(AI752=15,K752,0)</f>
        <v>0</v>
      </c>
      <c r="AG752" s="21">
        <f>IF(AI752=21,K752,0)</f>
        <v>0</v>
      </c>
      <c r="AI752" s="41">
        <v>21</v>
      </c>
      <c r="AJ752" s="41">
        <f>H752*0</f>
        <v>0</v>
      </c>
      <c r="AK752" s="41">
        <f>H752*(1-0)</f>
        <v>0</v>
      </c>
      <c r="AL752" s="42" t="s">
        <v>11</v>
      </c>
      <c r="AQ752" s="41">
        <f>AR752+AS752</f>
        <v>0</v>
      </c>
      <c r="AR752" s="41">
        <f>G752*AJ752</f>
        <v>0</v>
      </c>
      <c r="AS752" s="41">
        <f>G752*AK752</f>
        <v>0</v>
      </c>
      <c r="AT752" s="44" t="s">
        <v>2463</v>
      </c>
      <c r="AU752" s="44" t="s">
        <v>2485</v>
      </c>
      <c r="AV752" s="31" t="s">
        <v>2486</v>
      </c>
      <c r="AX752" s="41">
        <f>AR752+AS752</f>
        <v>0</v>
      </c>
      <c r="AY752" s="41">
        <f>H752/(100-AZ752)*100</f>
        <v>0</v>
      </c>
      <c r="AZ752" s="41">
        <v>0</v>
      </c>
      <c r="BA752" s="41">
        <f>M752</f>
        <v>0</v>
      </c>
      <c r="BC752" s="21">
        <f>G752*AJ752</f>
        <v>0</v>
      </c>
      <c r="BD752" s="21">
        <f>G752*AK752</f>
        <v>0</v>
      </c>
      <c r="BE752" s="21">
        <f>G752*H752</f>
        <v>0</v>
      </c>
      <c r="BF752" s="21" t="s">
        <v>2492</v>
      </c>
      <c r="BG752" s="41" t="s">
        <v>1329</v>
      </c>
    </row>
    <row r="753" spans="1:59" x14ac:dyDescent="0.3">
      <c r="A753" s="5"/>
      <c r="B753" s="14"/>
      <c r="C753" s="14" t="s">
        <v>1331</v>
      </c>
      <c r="D753" s="103" t="s">
        <v>2035</v>
      </c>
      <c r="E753" s="104"/>
      <c r="F753" s="19" t="s">
        <v>6</v>
      </c>
      <c r="G753" s="19" t="s">
        <v>6</v>
      </c>
      <c r="H753" s="19" t="s">
        <v>6</v>
      </c>
      <c r="I753" s="47">
        <f>SUM(I754:I754)</f>
        <v>0</v>
      </c>
      <c r="J753" s="47">
        <f>SUM(J754:J754)</f>
        <v>0</v>
      </c>
      <c r="K753" s="47">
        <f>SUM(K754:K754)</f>
        <v>0</v>
      </c>
      <c r="L753" s="31"/>
      <c r="M753" s="47">
        <f>SUM(M754:M754)</f>
        <v>0</v>
      </c>
      <c r="N753" s="36"/>
      <c r="O753" s="39"/>
      <c r="AD753" s="31"/>
      <c r="AN753" s="47">
        <f>SUM(AE754:AE754)</f>
        <v>0</v>
      </c>
      <c r="AO753" s="47">
        <f>SUM(AF754:AF754)</f>
        <v>0</v>
      </c>
      <c r="AP753" s="47">
        <f>SUM(AG754:AG754)</f>
        <v>0</v>
      </c>
    </row>
    <row r="754" spans="1:59" x14ac:dyDescent="0.3">
      <c r="A754" s="4" t="s">
        <v>721</v>
      </c>
      <c r="B754" s="13"/>
      <c r="C754" s="13" t="s">
        <v>1332</v>
      </c>
      <c r="D754" s="101" t="s">
        <v>2133</v>
      </c>
      <c r="E754" s="102"/>
      <c r="F754" s="13" t="s">
        <v>2389</v>
      </c>
      <c r="G754" s="21">
        <v>42.251100000000001</v>
      </c>
      <c r="H754" s="21">
        <v>0</v>
      </c>
      <c r="I754" s="21">
        <f>G754*AJ754</f>
        <v>0</v>
      </c>
      <c r="J754" s="21">
        <f>G754*AK754</f>
        <v>0</v>
      </c>
      <c r="K754" s="21">
        <f>G754*H754</f>
        <v>0</v>
      </c>
      <c r="L754" s="21">
        <v>0</v>
      </c>
      <c r="M754" s="21">
        <f>G754*L754</f>
        <v>0</v>
      </c>
      <c r="N754" s="35" t="s">
        <v>2417</v>
      </c>
      <c r="O754" s="39"/>
      <c r="U754" s="41">
        <f>IF(AL754="5",BE754,0)</f>
        <v>0</v>
      </c>
      <c r="W754" s="41">
        <f>IF(AL754="1",BC754,0)</f>
        <v>0</v>
      </c>
      <c r="X754" s="41">
        <f>IF(AL754="1",BD754,0)</f>
        <v>0</v>
      </c>
      <c r="Y754" s="41">
        <f>IF(AL754="7",BC754,0)</f>
        <v>0</v>
      </c>
      <c r="Z754" s="41">
        <f>IF(AL754="7",BD754,0)</f>
        <v>0</v>
      </c>
      <c r="AA754" s="41">
        <f>IF(AL754="2",BC754,0)</f>
        <v>0</v>
      </c>
      <c r="AB754" s="41">
        <f>IF(AL754="2",BD754,0)</f>
        <v>0</v>
      </c>
      <c r="AC754" s="41">
        <f>IF(AL754="0",BE754,0)</f>
        <v>0</v>
      </c>
      <c r="AD754" s="31"/>
      <c r="AE754" s="21">
        <f>IF(AI754=0,K754,0)</f>
        <v>0</v>
      </c>
      <c r="AF754" s="21">
        <f>IF(AI754=15,K754,0)</f>
        <v>0</v>
      </c>
      <c r="AG754" s="21">
        <f>IF(AI754=21,K754,0)</f>
        <v>0</v>
      </c>
      <c r="AI754" s="41">
        <v>21</v>
      </c>
      <c r="AJ754" s="41">
        <f>H754*0</f>
        <v>0</v>
      </c>
      <c r="AK754" s="41">
        <f>H754*(1-0)</f>
        <v>0</v>
      </c>
      <c r="AL754" s="42" t="s">
        <v>11</v>
      </c>
      <c r="AQ754" s="41">
        <f>AR754+AS754</f>
        <v>0</v>
      </c>
      <c r="AR754" s="41">
        <f>G754*AJ754</f>
        <v>0</v>
      </c>
      <c r="AS754" s="41">
        <f>G754*AK754</f>
        <v>0</v>
      </c>
      <c r="AT754" s="44" t="s">
        <v>2464</v>
      </c>
      <c r="AU754" s="44" t="s">
        <v>2485</v>
      </c>
      <c r="AV754" s="31" t="s">
        <v>2486</v>
      </c>
      <c r="AX754" s="41">
        <f>AR754+AS754</f>
        <v>0</v>
      </c>
      <c r="AY754" s="41">
        <f>H754/(100-AZ754)*100</f>
        <v>0</v>
      </c>
      <c r="AZ754" s="41">
        <v>0</v>
      </c>
      <c r="BA754" s="41">
        <f>M754</f>
        <v>0</v>
      </c>
      <c r="BC754" s="21">
        <f>G754*AJ754</f>
        <v>0</v>
      </c>
      <c r="BD754" s="21">
        <f>G754*AK754</f>
        <v>0</v>
      </c>
      <c r="BE754" s="21">
        <f>G754*H754</f>
        <v>0</v>
      </c>
      <c r="BF754" s="21" t="s">
        <v>2492</v>
      </c>
      <c r="BG754" s="41" t="s">
        <v>1331</v>
      </c>
    </row>
    <row r="755" spans="1:59" x14ac:dyDescent="0.3">
      <c r="A755" s="5"/>
      <c r="B755" s="14"/>
      <c r="C755" s="14" t="s">
        <v>1333</v>
      </c>
      <c r="D755" s="103" t="s">
        <v>2056</v>
      </c>
      <c r="E755" s="104"/>
      <c r="F755" s="19" t="s">
        <v>6</v>
      </c>
      <c r="G755" s="19" t="s">
        <v>6</v>
      </c>
      <c r="H755" s="19" t="s">
        <v>6</v>
      </c>
      <c r="I755" s="47">
        <f>SUM(I756:I756)</f>
        <v>0</v>
      </c>
      <c r="J755" s="47">
        <f>SUM(J756:J756)</f>
        <v>0</v>
      </c>
      <c r="K755" s="47">
        <f>SUM(K756:K756)</f>
        <v>0</v>
      </c>
      <c r="L755" s="31"/>
      <c r="M755" s="47">
        <f>SUM(M756:M756)</f>
        <v>0</v>
      </c>
      <c r="N755" s="36"/>
      <c r="O755" s="39"/>
      <c r="AD755" s="31"/>
      <c r="AN755" s="47">
        <f>SUM(AE756:AE756)</f>
        <v>0</v>
      </c>
      <c r="AO755" s="47">
        <f>SUM(AF756:AF756)</f>
        <v>0</v>
      </c>
      <c r="AP755" s="47">
        <f>SUM(AG756:AG756)</f>
        <v>0</v>
      </c>
    </row>
    <row r="756" spans="1:59" x14ac:dyDescent="0.3">
      <c r="A756" s="4" t="s">
        <v>722</v>
      </c>
      <c r="B756" s="13"/>
      <c r="C756" s="13" t="s">
        <v>1334</v>
      </c>
      <c r="D756" s="101" t="s">
        <v>2134</v>
      </c>
      <c r="E756" s="102"/>
      <c r="F756" s="13" t="s">
        <v>2389</v>
      </c>
      <c r="G756" s="21">
        <v>6.8182999999999998</v>
      </c>
      <c r="H756" s="21">
        <v>0</v>
      </c>
      <c r="I756" s="21">
        <f>G756*AJ756</f>
        <v>0</v>
      </c>
      <c r="J756" s="21">
        <f>G756*AK756</f>
        <v>0</v>
      </c>
      <c r="K756" s="21">
        <f>G756*H756</f>
        <v>0</v>
      </c>
      <c r="L756" s="21">
        <v>0</v>
      </c>
      <c r="M756" s="21">
        <f>G756*L756</f>
        <v>0</v>
      </c>
      <c r="N756" s="35" t="s">
        <v>2417</v>
      </c>
      <c r="O756" s="39"/>
      <c r="U756" s="41">
        <f>IF(AL756="5",BE756,0)</f>
        <v>0</v>
      </c>
      <c r="W756" s="41">
        <f>IF(AL756="1",BC756,0)</f>
        <v>0</v>
      </c>
      <c r="X756" s="41">
        <f>IF(AL756="1",BD756,0)</f>
        <v>0</v>
      </c>
      <c r="Y756" s="41">
        <f>IF(AL756="7",BC756,0)</f>
        <v>0</v>
      </c>
      <c r="Z756" s="41">
        <f>IF(AL756="7",BD756,0)</f>
        <v>0</v>
      </c>
      <c r="AA756" s="41">
        <f>IF(AL756="2",BC756,0)</f>
        <v>0</v>
      </c>
      <c r="AB756" s="41">
        <f>IF(AL756="2",BD756,0)</f>
        <v>0</v>
      </c>
      <c r="AC756" s="41">
        <f>IF(AL756="0",BE756,0)</f>
        <v>0</v>
      </c>
      <c r="AD756" s="31"/>
      <c r="AE756" s="21">
        <f>IF(AI756=0,K756,0)</f>
        <v>0</v>
      </c>
      <c r="AF756" s="21">
        <f>IF(AI756=15,K756,0)</f>
        <v>0</v>
      </c>
      <c r="AG756" s="21">
        <f>IF(AI756=21,K756,0)</f>
        <v>0</v>
      </c>
      <c r="AI756" s="41">
        <v>21</v>
      </c>
      <c r="AJ756" s="41">
        <f>H756*0</f>
        <v>0</v>
      </c>
      <c r="AK756" s="41">
        <f>H756*(1-0)</f>
        <v>0</v>
      </c>
      <c r="AL756" s="42" t="s">
        <v>11</v>
      </c>
      <c r="AQ756" s="41">
        <f>AR756+AS756</f>
        <v>0</v>
      </c>
      <c r="AR756" s="41">
        <f>G756*AJ756</f>
        <v>0</v>
      </c>
      <c r="AS756" s="41">
        <f>G756*AK756</f>
        <v>0</v>
      </c>
      <c r="AT756" s="44" t="s">
        <v>2465</v>
      </c>
      <c r="AU756" s="44" t="s">
        <v>2485</v>
      </c>
      <c r="AV756" s="31" t="s">
        <v>2486</v>
      </c>
      <c r="AX756" s="41">
        <f>AR756+AS756</f>
        <v>0</v>
      </c>
      <c r="AY756" s="41">
        <f>H756/(100-AZ756)*100</f>
        <v>0</v>
      </c>
      <c r="AZ756" s="41">
        <v>0</v>
      </c>
      <c r="BA756" s="41">
        <f>M756</f>
        <v>0</v>
      </c>
      <c r="BC756" s="21">
        <f>G756*AJ756</f>
        <v>0</v>
      </c>
      <c r="BD756" s="21">
        <f>G756*AK756</f>
        <v>0</v>
      </c>
      <c r="BE756" s="21">
        <f>G756*H756</f>
        <v>0</v>
      </c>
      <c r="BF756" s="21" t="s">
        <v>2492</v>
      </c>
      <c r="BG756" s="41" t="s">
        <v>1333</v>
      </c>
    </row>
    <row r="757" spans="1:59" x14ac:dyDescent="0.3">
      <c r="A757" s="5"/>
      <c r="B757" s="14"/>
      <c r="C757" s="14" t="s">
        <v>1335</v>
      </c>
      <c r="D757" s="103" t="s">
        <v>2135</v>
      </c>
      <c r="E757" s="104"/>
      <c r="F757" s="19" t="s">
        <v>6</v>
      </c>
      <c r="G757" s="19" t="s">
        <v>6</v>
      </c>
      <c r="H757" s="19" t="s">
        <v>6</v>
      </c>
      <c r="I757" s="47">
        <f>SUM(I758:I758)</f>
        <v>0</v>
      </c>
      <c r="J757" s="47">
        <f>SUM(J758:J758)</f>
        <v>0</v>
      </c>
      <c r="K757" s="47">
        <f>SUM(K758:K758)</f>
        <v>0</v>
      </c>
      <c r="L757" s="31"/>
      <c r="M757" s="47">
        <f>SUM(M758:M758)</f>
        <v>0</v>
      </c>
      <c r="N757" s="36"/>
      <c r="O757" s="39"/>
      <c r="AD757" s="31"/>
      <c r="AN757" s="47">
        <f>SUM(AE758:AE758)</f>
        <v>0</v>
      </c>
      <c r="AO757" s="47">
        <f>SUM(AF758:AF758)</f>
        <v>0</v>
      </c>
      <c r="AP757" s="47">
        <f>SUM(AG758:AG758)</f>
        <v>0</v>
      </c>
    </row>
    <row r="758" spans="1:59" x14ac:dyDescent="0.3">
      <c r="A758" s="4" t="s">
        <v>723</v>
      </c>
      <c r="B758" s="13"/>
      <c r="C758" s="13" t="s">
        <v>1336</v>
      </c>
      <c r="D758" s="101" t="s">
        <v>2136</v>
      </c>
      <c r="E758" s="102"/>
      <c r="F758" s="13" t="s">
        <v>2389</v>
      </c>
      <c r="G758" s="21">
        <v>4.1025</v>
      </c>
      <c r="H758" s="21">
        <v>0</v>
      </c>
      <c r="I758" s="21">
        <f>G758*AJ758</f>
        <v>0</v>
      </c>
      <c r="J758" s="21">
        <f>G758*AK758</f>
        <v>0</v>
      </c>
      <c r="K758" s="21">
        <f>G758*H758</f>
        <v>0</v>
      </c>
      <c r="L758" s="21">
        <v>0</v>
      </c>
      <c r="M758" s="21">
        <f>G758*L758</f>
        <v>0</v>
      </c>
      <c r="N758" s="35" t="s">
        <v>2417</v>
      </c>
      <c r="O758" s="39"/>
      <c r="U758" s="41">
        <f>IF(AL758="5",BE758,0)</f>
        <v>0</v>
      </c>
      <c r="W758" s="41">
        <f>IF(AL758="1",BC758,0)</f>
        <v>0</v>
      </c>
      <c r="X758" s="41">
        <f>IF(AL758="1",BD758,0)</f>
        <v>0</v>
      </c>
      <c r="Y758" s="41">
        <f>IF(AL758="7",BC758,0)</f>
        <v>0</v>
      </c>
      <c r="Z758" s="41">
        <f>IF(AL758="7",BD758,0)</f>
        <v>0</v>
      </c>
      <c r="AA758" s="41">
        <f>IF(AL758="2",BC758,0)</f>
        <v>0</v>
      </c>
      <c r="AB758" s="41">
        <f>IF(AL758="2",BD758,0)</f>
        <v>0</v>
      </c>
      <c r="AC758" s="41">
        <f>IF(AL758="0",BE758,0)</f>
        <v>0</v>
      </c>
      <c r="AD758" s="31"/>
      <c r="AE758" s="21">
        <f>IF(AI758=0,K758,0)</f>
        <v>0</v>
      </c>
      <c r="AF758" s="21">
        <f>IF(AI758=15,K758,0)</f>
        <v>0</v>
      </c>
      <c r="AG758" s="21">
        <f>IF(AI758=21,K758,0)</f>
        <v>0</v>
      </c>
      <c r="AI758" s="41">
        <v>21</v>
      </c>
      <c r="AJ758" s="41">
        <f>H758*0</f>
        <v>0</v>
      </c>
      <c r="AK758" s="41">
        <f>H758*(1-0)</f>
        <v>0</v>
      </c>
      <c r="AL758" s="42" t="s">
        <v>11</v>
      </c>
      <c r="AQ758" s="41">
        <f>AR758+AS758</f>
        <v>0</v>
      </c>
      <c r="AR758" s="41">
        <f>G758*AJ758</f>
        <v>0</v>
      </c>
      <c r="AS758" s="41">
        <f>G758*AK758</f>
        <v>0</v>
      </c>
      <c r="AT758" s="44" t="s">
        <v>2466</v>
      </c>
      <c r="AU758" s="44" t="s">
        <v>2485</v>
      </c>
      <c r="AV758" s="31" t="s">
        <v>2486</v>
      </c>
      <c r="AX758" s="41">
        <f>AR758+AS758</f>
        <v>0</v>
      </c>
      <c r="AY758" s="41">
        <f>H758/(100-AZ758)*100</f>
        <v>0</v>
      </c>
      <c r="AZ758" s="41">
        <v>0</v>
      </c>
      <c r="BA758" s="41">
        <f>M758</f>
        <v>0</v>
      </c>
      <c r="BC758" s="21">
        <f>G758*AJ758</f>
        <v>0</v>
      </c>
      <c r="BD758" s="21">
        <f>G758*AK758</f>
        <v>0</v>
      </c>
      <c r="BE758" s="21">
        <f>G758*H758</f>
        <v>0</v>
      </c>
      <c r="BF758" s="21" t="s">
        <v>2492</v>
      </c>
      <c r="BG758" s="41" t="s">
        <v>1335</v>
      </c>
    </row>
    <row r="759" spans="1:59" x14ac:dyDescent="0.3">
      <c r="A759" s="5"/>
      <c r="B759" s="14"/>
      <c r="C759" s="14" t="s">
        <v>1337</v>
      </c>
      <c r="D759" s="103" t="s">
        <v>2070</v>
      </c>
      <c r="E759" s="104"/>
      <c r="F759" s="19" t="s">
        <v>6</v>
      </c>
      <c r="G759" s="19" t="s">
        <v>6</v>
      </c>
      <c r="H759" s="19" t="s">
        <v>6</v>
      </c>
      <c r="I759" s="47">
        <f>SUM(I760:I760)</f>
        <v>0</v>
      </c>
      <c r="J759" s="47">
        <f>SUM(J760:J760)</f>
        <v>0</v>
      </c>
      <c r="K759" s="47">
        <f>SUM(K760:K760)</f>
        <v>0</v>
      </c>
      <c r="L759" s="31"/>
      <c r="M759" s="47">
        <f>SUM(M760:M760)</f>
        <v>0</v>
      </c>
      <c r="N759" s="36"/>
      <c r="O759" s="39"/>
      <c r="AD759" s="31"/>
      <c r="AN759" s="47">
        <f>SUM(AE760:AE760)</f>
        <v>0</v>
      </c>
      <c r="AO759" s="47">
        <f>SUM(AF760:AF760)</f>
        <v>0</v>
      </c>
      <c r="AP759" s="47">
        <f>SUM(AG760:AG760)</f>
        <v>0</v>
      </c>
    </row>
    <row r="760" spans="1:59" x14ac:dyDescent="0.3">
      <c r="A760" s="4" t="s">
        <v>724</v>
      </c>
      <c r="B760" s="13"/>
      <c r="C760" s="13" t="s">
        <v>1338</v>
      </c>
      <c r="D760" s="101" t="s">
        <v>2137</v>
      </c>
      <c r="E760" s="102"/>
      <c r="F760" s="13" t="s">
        <v>2389</v>
      </c>
      <c r="G760" s="21">
        <v>11.6769</v>
      </c>
      <c r="H760" s="21">
        <v>0</v>
      </c>
      <c r="I760" s="21">
        <f>G760*AJ760</f>
        <v>0</v>
      </c>
      <c r="J760" s="21">
        <f>G760*AK760</f>
        <v>0</v>
      </c>
      <c r="K760" s="21">
        <f>G760*H760</f>
        <v>0</v>
      </c>
      <c r="L760" s="21">
        <v>0</v>
      </c>
      <c r="M760" s="21">
        <f>G760*L760</f>
        <v>0</v>
      </c>
      <c r="N760" s="35" t="s">
        <v>2417</v>
      </c>
      <c r="O760" s="39"/>
      <c r="U760" s="41">
        <f>IF(AL760="5",BE760,0)</f>
        <v>0</v>
      </c>
      <c r="W760" s="41">
        <f>IF(AL760="1",BC760,0)</f>
        <v>0</v>
      </c>
      <c r="X760" s="41">
        <f>IF(AL760="1",BD760,0)</f>
        <v>0</v>
      </c>
      <c r="Y760" s="41">
        <f>IF(AL760="7",BC760,0)</f>
        <v>0</v>
      </c>
      <c r="Z760" s="41">
        <f>IF(AL760="7",BD760,0)</f>
        <v>0</v>
      </c>
      <c r="AA760" s="41">
        <f>IF(AL760="2",BC760,0)</f>
        <v>0</v>
      </c>
      <c r="AB760" s="41">
        <f>IF(AL760="2",BD760,0)</f>
        <v>0</v>
      </c>
      <c r="AC760" s="41">
        <f>IF(AL760="0",BE760,0)</f>
        <v>0</v>
      </c>
      <c r="AD760" s="31"/>
      <c r="AE760" s="21">
        <f>IF(AI760=0,K760,0)</f>
        <v>0</v>
      </c>
      <c r="AF760" s="21">
        <f>IF(AI760=15,K760,0)</f>
        <v>0</v>
      </c>
      <c r="AG760" s="21">
        <f>IF(AI760=21,K760,0)</f>
        <v>0</v>
      </c>
      <c r="AI760" s="41">
        <v>21</v>
      </c>
      <c r="AJ760" s="41">
        <f>H760*0</f>
        <v>0</v>
      </c>
      <c r="AK760" s="41">
        <f>H760*(1-0)</f>
        <v>0</v>
      </c>
      <c r="AL760" s="42" t="s">
        <v>11</v>
      </c>
      <c r="AQ760" s="41">
        <f>AR760+AS760</f>
        <v>0</v>
      </c>
      <c r="AR760" s="41">
        <f>G760*AJ760</f>
        <v>0</v>
      </c>
      <c r="AS760" s="41">
        <f>G760*AK760</f>
        <v>0</v>
      </c>
      <c r="AT760" s="44" t="s">
        <v>2467</v>
      </c>
      <c r="AU760" s="44" t="s">
        <v>2485</v>
      </c>
      <c r="AV760" s="31" t="s">
        <v>2486</v>
      </c>
      <c r="AX760" s="41">
        <f>AR760+AS760</f>
        <v>0</v>
      </c>
      <c r="AY760" s="41">
        <f>H760/(100-AZ760)*100</f>
        <v>0</v>
      </c>
      <c r="AZ760" s="41">
        <v>0</v>
      </c>
      <c r="BA760" s="41">
        <f>M760</f>
        <v>0</v>
      </c>
      <c r="BC760" s="21">
        <f>G760*AJ760</f>
        <v>0</v>
      </c>
      <c r="BD760" s="21">
        <f>G760*AK760</f>
        <v>0</v>
      </c>
      <c r="BE760" s="21">
        <f>G760*H760</f>
        <v>0</v>
      </c>
      <c r="BF760" s="21" t="s">
        <v>2492</v>
      </c>
      <c r="BG760" s="41" t="s">
        <v>1337</v>
      </c>
    </row>
    <row r="761" spans="1:59" x14ac:dyDescent="0.3">
      <c r="A761" s="5"/>
      <c r="B761" s="14"/>
      <c r="C761" s="14" t="s">
        <v>1339</v>
      </c>
      <c r="D761" s="103" t="s">
        <v>2138</v>
      </c>
      <c r="E761" s="104"/>
      <c r="F761" s="19" t="s">
        <v>6</v>
      </c>
      <c r="G761" s="19" t="s">
        <v>6</v>
      </c>
      <c r="H761" s="19" t="s">
        <v>6</v>
      </c>
      <c r="I761" s="47">
        <f>SUM(I762:I762)</f>
        <v>0</v>
      </c>
      <c r="J761" s="47">
        <f>SUM(J762:J762)</f>
        <v>0</v>
      </c>
      <c r="K761" s="47">
        <f>SUM(K762:K762)</f>
        <v>0</v>
      </c>
      <c r="L761" s="31"/>
      <c r="M761" s="47">
        <f>SUM(M762:M762)</f>
        <v>0</v>
      </c>
      <c r="N761" s="36"/>
      <c r="O761" s="39"/>
      <c r="AD761" s="31"/>
      <c r="AN761" s="47">
        <f>SUM(AE762:AE762)</f>
        <v>0</v>
      </c>
      <c r="AO761" s="47">
        <f>SUM(AF762:AF762)</f>
        <v>0</v>
      </c>
      <c r="AP761" s="47">
        <f>SUM(AG762:AG762)</f>
        <v>0</v>
      </c>
    </row>
    <row r="762" spans="1:59" x14ac:dyDescent="0.3">
      <c r="A762" s="4" t="s">
        <v>725</v>
      </c>
      <c r="B762" s="13"/>
      <c r="C762" s="13" t="s">
        <v>1340</v>
      </c>
      <c r="D762" s="101" t="s">
        <v>2139</v>
      </c>
      <c r="E762" s="102"/>
      <c r="F762" s="13" t="s">
        <v>2389</v>
      </c>
      <c r="G762" s="21">
        <v>0</v>
      </c>
      <c r="H762" s="21">
        <v>0</v>
      </c>
      <c r="I762" s="21">
        <f>G762*AJ762</f>
        <v>0</v>
      </c>
      <c r="J762" s="21">
        <f>G762*AK762</f>
        <v>0</v>
      </c>
      <c r="K762" s="21">
        <f>G762*H762</f>
        <v>0</v>
      </c>
      <c r="L762" s="21">
        <v>0</v>
      </c>
      <c r="M762" s="21">
        <f>G762*L762</f>
        <v>0</v>
      </c>
      <c r="N762" s="35" t="s">
        <v>2417</v>
      </c>
      <c r="O762" s="39"/>
      <c r="U762" s="41">
        <f>IF(AL762="5",BE762,0)</f>
        <v>0</v>
      </c>
      <c r="W762" s="41">
        <f>IF(AL762="1",BC762,0)</f>
        <v>0</v>
      </c>
      <c r="X762" s="41">
        <f>IF(AL762="1",BD762,0)</f>
        <v>0</v>
      </c>
      <c r="Y762" s="41">
        <f>IF(AL762="7",BC762,0)</f>
        <v>0</v>
      </c>
      <c r="Z762" s="41">
        <f>IF(AL762="7",BD762,0)</f>
        <v>0</v>
      </c>
      <c r="AA762" s="41">
        <f>IF(AL762="2",BC762,0)</f>
        <v>0</v>
      </c>
      <c r="AB762" s="41">
        <f>IF(AL762="2",BD762,0)</f>
        <v>0</v>
      </c>
      <c r="AC762" s="41">
        <f>IF(AL762="0",BE762,0)</f>
        <v>0</v>
      </c>
      <c r="AD762" s="31"/>
      <c r="AE762" s="21">
        <f>IF(AI762=0,K762,0)</f>
        <v>0</v>
      </c>
      <c r="AF762" s="21">
        <f>IF(AI762=15,K762,0)</f>
        <v>0</v>
      </c>
      <c r="AG762" s="21">
        <f>IF(AI762=21,K762,0)</f>
        <v>0</v>
      </c>
      <c r="AI762" s="41">
        <v>21</v>
      </c>
      <c r="AJ762" s="41">
        <f>H762*0</f>
        <v>0</v>
      </c>
      <c r="AK762" s="41">
        <f>H762*(1-0)</f>
        <v>0</v>
      </c>
      <c r="AL762" s="42" t="s">
        <v>11</v>
      </c>
      <c r="AQ762" s="41">
        <f>AR762+AS762</f>
        <v>0</v>
      </c>
      <c r="AR762" s="41">
        <f>G762*AJ762</f>
        <v>0</v>
      </c>
      <c r="AS762" s="41">
        <f>G762*AK762</f>
        <v>0</v>
      </c>
      <c r="AT762" s="44" t="s">
        <v>2468</v>
      </c>
      <c r="AU762" s="44" t="s">
        <v>2485</v>
      </c>
      <c r="AV762" s="31" t="s">
        <v>2486</v>
      </c>
      <c r="AX762" s="41">
        <f>AR762+AS762</f>
        <v>0</v>
      </c>
      <c r="AY762" s="41">
        <f>H762/(100-AZ762)*100</f>
        <v>0</v>
      </c>
      <c r="AZ762" s="41">
        <v>0</v>
      </c>
      <c r="BA762" s="41">
        <f>M762</f>
        <v>0</v>
      </c>
      <c r="BC762" s="21">
        <f>G762*AJ762</f>
        <v>0</v>
      </c>
      <c r="BD762" s="21">
        <f>G762*AK762</f>
        <v>0</v>
      </c>
      <c r="BE762" s="21">
        <f>G762*H762</f>
        <v>0</v>
      </c>
      <c r="BF762" s="21" t="s">
        <v>2492</v>
      </c>
      <c r="BG762" s="41" t="s">
        <v>1339</v>
      </c>
    </row>
    <row r="763" spans="1:59" x14ac:dyDescent="0.3">
      <c r="A763" s="5"/>
      <c r="B763" s="14"/>
      <c r="C763" s="14" t="s">
        <v>1341</v>
      </c>
      <c r="D763" s="103" t="s">
        <v>2140</v>
      </c>
      <c r="E763" s="104"/>
      <c r="F763" s="19" t="s">
        <v>6</v>
      </c>
      <c r="G763" s="19" t="s">
        <v>6</v>
      </c>
      <c r="H763" s="19" t="s">
        <v>6</v>
      </c>
      <c r="I763" s="47">
        <f>SUM(I764:I764)</f>
        <v>0</v>
      </c>
      <c r="J763" s="47">
        <f>SUM(J764:J764)</f>
        <v>0</v>
      </c>
      <c r="K763" s="47">
        <f>SUM(K764:K764)</f>
        <v>0</v>
      </c>
      <c r="L763" s="31"/>
      <c r="M763" s="47">
        <f>SUM(M764:M764)</f>
        <v>0</v>
      </c>
      <c r="N763" s="36"/>
      <c r="O763" s="39"/>
      <c r="AD763" s="31"/>
      <c r="AN763" s="47">
        <f>SUM(AE764:AE764)</f>
        <v>0</v>
      </c>
      <c r="AO763" s="47">
        <f>SUM(AF764:AF764)</f>
        <v>0</v>
      </c>
      <c r="AP763" s="47">
        <f>SUM(AG764:AG764)</f>
        <v>0</v>
      </c>
    </row>
    <row r="764" spans="1:59" x14ac:dyDescent="0.3">
      <c r="A764" s="4" t="s">
        <v>726</v>
      </c>
      <c r="B764" s="13"/>
      <c r="C764" s="13" t="s">
        <v>1342</v>
      </c>
      <c r="D764" s="101" t="s">
        <v>2141</v>
      </c>
      <c r="E764" s="102"/>
      <c r="F764" s="13" t="s">
        <v>2386</v>
      </c>
      <c r="G764" s="21">
        <v>1</v>
      </c>
      <c r="H764" s="21">
        <v>0</v>
      </c>
      <c r="I764" s="21">
        <f>G764*AJ764</f>
        <v>0</v>
      </c>
      <c r="J764" s="21">
        <f>G764*AK764</f>
        <v>0</v>
      </c>
      <c r="K764" s="21">
        <f>G764*H764</f>
        <v>0</v>
      </c>
      <c r="L764" s="21">
        <v>0</v>
      </c>
      <c r="M764" s="21">
        <f>G764*L764</f>
        <v>0</v>
      </c>
      <c r="N764" s="35"/>
      <c r="O764" s="39"/>
      <c r="U764" s="41">
        <f>IF(AL764="5",BE764,0)</f>
        <v>0</v>
      </c>
      <c r="W764" s="41">
        <f>IF(AL764="1",BC764,0)</f>
        <v>0</v>
      </c>
      <c r="X764" s="41">
        <f>IF(AL764="1",BD764,0)</f>
        <v>0</v>
      </c>
      <c r="Y764" s="41">
        <f>IF(AL764="7",BC764,0)</f>
        <v>0</v>
      </c>
      <c r="Z764" s="41">
        <f>IF(AL764="7",BD764,0)</f>
        <v>0</v>
      </c>
      <c r="AA764" s="41">
        <f>IF(AL764="2",BC764,0)</f>
        <v>0</v>
      </c>
      <c r="AB764" s="41">
        <f>IF(AL764="2",BD764,0)</f>
        <v>0</v>
      </c>
      <c r="AC764" s="41">
        <f>IF(AL764="0",BE764,0)</f>
        <v>0</v>
      </c>
      <c r="AD764" s="31"/>
      <c r="AE764" s="21">
        <f>IF(AI764=0,K764,0)</f>
        <v>0</v>
      </c>
      <c r="AF764" s="21">
        <f>IF(AI764=15,K764,0)</f>
        <v>0</v>
      </c>
      <c r="AG764" s="21">
        <f>IF(AI764=21,K764,0)</f>
        <v>0</v>
      </c>
      <c r="AI764" s="41">
        <v>21</v>
      </c>
      <c r="AJ764" s="41">
        <f>H764*0</f>
        <v>0</v>
      </c>
      <c r="AK764" s="41">
        <f>H764*(1-0)</f>
        <v>0</v>
      </c>
      <c r="AL764" s="42" t="s">
        <v>8</v>
      </c>
      <c r="AQ764" s="41">
        <f>AR764+AS764</f>
        <v>0</v>
      </c>
      <c r="AR764" s="41">
        <f>G764*AJ764</f>
        <v>0</v>
      </c>
      <c r="AS764" s="41">
        <f>G764*AK764</f>
        <v>0</v>
      </c>
      <c r="AT764" s="44" t="s">
        <v>2469</v>
      </c>
      <c r="AU764" s="44" t="s">
        <v>2485</v>
      </c>
      <c r="AV764" s="31" t="s">
        <v>2486</v>
      </c>
      <c r="AX764" s="41">
        <f>AR764+AS764</f>
        <v>0</v>
      </c>
      <c r="AY764" s="41">
        <f>H764/(100-AZ764)*100</f>
        <v>0</v>
      </c>
      <c r="AZ764" s="41">
        <v>0</v>
      </c>
      <c r="BA764" s="41">
        <f>M764</f>
        <v>0</v>
      </c>
      <c r="BC764" s="21">
        <f>G764*AJ764</f>
        <v>0</v>
      </c>
      <c r="BD764" s="21">
        <f>G764*AK764</f>
        <v>0</v>
      </c>
      <c r="BE764" s="21">
        <f>G764*H764</f>
        <v>0</v>
      </c>
      <c r="BF764" s="21" t="s">
        <v>2492</v>
      </c>
      <c r="BG764" s="41" t="s">
        <v>1341</v>
      </c>
    </row>
    <row r="765" spans="1:59" x14ac:dyDescent="0.3">
      <c r="A765" s="5"/>
      <c r="B765" s="14"/>
      <c r="C765" s="14" t="s">
        <v>1343</v>
      </c>
      <c r="D765" s="103" t="s">
        <v>2142</v>
      </c>
      <c r="E765" s="104"/>
      <c r="F765" s="19" t="s">
        <v>6</v>
      </c>
      <c r="G765" s="19" t="s">
        <v>6</v>
      </c>
      <c r="H765" s="19" t="s">
        <v>6</v>
      </c>
      <c r="I765" s="47">
        <f>SUM(I766:I801)</f>
        <v>0</v>
      </c>
      <c r="J765" s="47">
        <f>SUM(J766:J801)</f>
        <v>0</v>
      </c>
      <c r="K765" s="47">
        <f>SUM(K766:K801)</f>
        <v>0</v>
      </c>
      <c r="L765" s="31"/>
      <c r="M765" s="47">
        <f>SUM(M766:M801)</f>
        <v>0</v>
      </c>
      <c r="N765" s="36"/>
      <c r="O765" s="39"/>
      <c r="AD765" s="31"/>
      <c r="AN765" s="47">
        <f>SUM(AE766:AE801)</f>
        <v>0</v>
      </c>
      <c r="AO765" s="47">
        <f>SUM(AF766:AF801)</f>
        <v>0</v>
      </c>
      <c r="AP765" s="47">
        <f>SUM(AG766:AG801)</f>
        <v>0</v>
      </c>
    </row>
    <row r="766" spans="1:59" x14ac:dyDescent="0.3">
      <c r="A766" s="4" t="s">
        <v>727</v>
      </c>
      <c r="B766" s="13"/>
      <c r="C766" s="13" t="s">
        <v>1344</v>
      </c>
      <c r="D766" s="101" t="s">
        <v>2722</v>
      </c>
      <c r="E766" s="102"/>
      <c r="F766" s="13" t="s">
        <v>2386</v>
      </c>
      <c r="G766" s="21">
        <v>1</v>
      </c>
      <c r="H766" s="21">
        <v>0</v>
      </c>
      <c r="I766" s="21">
        <f t="shared" ref="I766:I800" si="760">G766*AJ766</f>
        <v>0</v>
      </c>
      <c r="J766" s="21">
        <f t="shared" ref="J766:J800" si="761">G766*AK766</f>
        <v>0</v>
      </c>
      <c r="K766" s="21">
        <f t="shared" ref="K766:K799" si="762">G766*H766</f>
        <v>0</v>
      </c>
      <c r="L766" s="21">
        <v>0</v>
      </c>
      <c r="M766" s="21">
        <f t="shared" ref="M766:M801" si="763">G766*L766</f>
        <v>0</v>
      </c>
      <c r="N766" s="35"/>
      <c r="O766" s="39"/>
      <c r="U766" s="41">
        <f t="shared" ref="U766:U801" si="764">IF(AL766="5",BE766,0)</f>
        <v>0</v>
      </c>
      <c r="W766" s="41">
        <f t="shared" ref="W766:W801" si="765">IF(AL766="1",BC766,0)</f>
        <v>0</v>
      </c>
      <c r="X766" s="41">
        <f t="shared" ref="X766:X801" si="766">IF(AL766="1",BD766,0)</f>
        <v>0</v>
      </c>
      <c r="Y766" s="41">
        <f t="shared" ref="Y766:Y801" si="767">IF(AL766="7",BC766,0)</f>
        <v>0</v>
      </c>
      <c r="Z766" s="41">
        <f t="shared" ref="Z766:Z801" si="768">IF(AL766="7",BD766,0)</f>
        <v>0</v>
      </c>
      <c r="AA766" s="41">
        <f t="shared" ref="AA766:AA801" si="769">IF(AL766="2",BC766,0)</f>
        <v>0</v>
      </c>
      <c r="AB766" s="41">
        <f t="shared" ref="AB766:AB801" si="770">IF(AL766="2",BD766,0)</f>
        <v>0</v>
      </c>
      <c r="AC766" s="41">
        <f t="shared" ref="AC766:AC801" si="771">IF(AL766="0",BE766,0)</f>
        <v>0</v>
      </c>
      <c r="AD766" s="31"/>
      <c r="AE766" s="21">
        <f t="shared" ref="AE766:AE801" si="772">IF(AI766=0,K766,0)</f>
        <v>0</v>
      </c>
      <c r="AF766" s="21">
        <f t="shared" ref="AF766:AF801" si="773">IF(AI766=15,K766,0)</f>
        <v>0</v>
      </c>
      <c r="AG766" s="21">
        <f t="shared" ref="AG766:AG801" si="774">IF(AI766=21,K766,0)</f>
        <v>0</v>
      </c>
      <c r="AI766" s="41">
        <v>21</v>
      </c>
      <c r="AJ766" s="41">
        <f t="shared" ref="AJ766:AJ801" si="775">H766*0</f>
        <v>0</v>
      </c>
      <c r="AK766" s="41">
        <f t="shared" ref="AK766:AK801" si="776">H766*(1-0)</f>
        <v>0</v>
      </c>
      <c r="AL766" s="42" t="s">
        <v>8</v>
      </c>
      <c r="AQ766" s="41">
        <f t="shared" ref="AQ766:AQ801" si="777">AR766+AS766</f>
        <v>0</v>
      </c>
      <c r="AR766" s="41">
        <f t="shared" ref="AR766:AR801" si="778">G766*AJ766</f>
        <v>0</v>
      </c>
      <c r="AS766" s="41">
        <f t="shared" ref="AS766:AS801" si="779">G766*AK766</f>
        <v>0</v>
      </c>
      <c r="AT766" s="44" t="s">
        <v>2470</v>
      </c>
      <c r="AU766" s="44" t="s">
        <v>2485</v>
      </c>
      <c r="AV766" s="31" t="s">
        <v>2486</v>
      </c>
      <c r="AX766" s="41">
        <f t="shared" ref="AX766:AX801" si="780">AR766+AS766</f>
        <v>0</v>
      </c>
      <c r="AY766" s="41">
        <f t="shared" ref="AY766:AY801" si="781">H766/(100-AZ766)*100</f>
        <v>0</v>
      </c>
      <c r="AZ766" s="41">
        <v>0</v>
      </c>
      <c r="BA766" s="41">
        <f t="shared" ref="BA766:BA801" si="782">M766</f>
        <v>0</v>
      </c>
      <c r="BC766" s="21">
        <f t="shared" ref="BC766:BC801" si="783">G766*AJ766</f>
        <v>0</v>
      </c>
      <c r="BD766" s="21">
        <f t="shared" ref="BD766:BD801" si="784">G766*AK766</f>
        <v>0</v>
      </c>
      <c r="BE766" s="21">
        <f t="shared" ref="BE766:BE801" si="785">G766*H766</f>
        <v>0</v>
      </c>
      <c r="BF766" s="21" t="s">
        <v>2492</v>
      </c>
      <c r="BG766" s="41" t="s">
        <v>1343</v>
      </c>
    </row>
    <row r="767" spans="1:59" x14ac:dyDescent="0.3">
      <c r="A767" s="4" t="s">
        <v>728</v>
      </c>
      <c r="B767" s="13"/>
      <c r="C767" s="13" t="s">
        <v>1345</v>
      </c>
      <c r="D767" s="101" t="s">
        <v>2723</v>
      </c>
      <c r="E767" s="102"/>
      <c r="F767" s="13" t="s">
        <v>2386</v>
      </c>
      <c r="G767" s="21">
        <v>1</v>
      </c>
      <c r="H767" s="21">
        <v>0</v>
      </c>
      <c r="I767" s="21">
        <f t="shared" si="760"/>
        <v>0</v>
      </c>
      <c r="J767" s="21">
        <f t="shared" si="761"/>
        <v>0</v>
      </c>
      <c r="K767" s="21">
        <f t="shared" si="762"/>
        <v>0</v>
      </c>
      <c r="L767" s="21">
        <v>0</v>
      </c>
      <c r="M767" s="21">
        <f t="shared" si="763"/>
        <v>0</v>
      </c>
      <c r="N767" s="35"/>
      <c r="O767" s="39"/>
      <c r="U767" s="41">
        <f t="shared" si="764"/>
        <v>0</v>
      </c>
      <c r="W767" s="41">
        <f t="shared" si="765"/>
        <v>0</v>
      </c>
      <c r="X767" s="41">
        <f t="shared" si="766"/>
        <v>0</v>
      </c>
      <c r="Y767" s="41">
        <f t="shared" si="767"/>
        <v>0</v>
      </c>
      <c r="Z767" s="41">
        <f t="shared" si="768"/>
        <v>0</v>
      </c>
      <c r="AA767" s="41">
        <f t="shared" si="769"/>
        <v>0</v>
      </c>
      <c r="AB767" s="41">
        <f t="shared" si="770"/>
        <v>0</v>
      </c>
      <c r="AC767" s="41">
        <f t="shared" si="771"/>
        <v>0</v>
      </c>
      <c r="AD767" s="31"/>
      <c r="AE767" s="21">
        <f t="shared" si="772"/>
        <v>0</v>
      </c>
      <c r="AF767" s="21">
        <f t="shared" si="773"/>
        <v>0</v>
      </c>
      <c r="AG767" s="21">
        <f t="shared" si="774"/>
        <v>0</v>
      </c>
      <c r="AI767" s="41">
        <v>21</v>
      </c>
      <c r="AJ767" s="41">
        <f t="shared" si="775"/>
        <v>0</v>
      </c>
      <c r="AK767" s="41">
        <f t="shared" si="776"/>
        <v>0</v>
      </c>
      <c r="AL767" s="42" t="s">
        <v>8</v>
      </c>
      <c r="AQ767" s="41">
        <f t="shared" si="777"/>
        <v>0</v>
      </c>
      <c r="AR767" s="41">
        <f t="shared" si="778"/>
        <v>0</v>
      </c>
      <c r="AS767" s="41">
        <f t="shared" si="779"/>
        <v>0</v>
      </c>
      <c r="AT767" s="44" t="s">
        <v>2470</v>
      </c>
      <c r="AU767" s="44" t="s">
        <v>2485</v>
      </c>
      <c r="AV767" s="31" t="s">
        <v>2486</v>
      </c>
      <c r="AX767" s="41">
        <f t="shared" si="780"/>
        <v>0</v>
      </c>
      <c r="AY767" s="41">
        <f t="shared" si="781"/>
        <v>0</v>
      </c>
      <c r="AZ767" s="41">
        <v>0</v>
      </c>
      <c r="BA767" s="41">
        <f t="shared" si="782"/>
        <v>0</v>
      </c>
      <c r="BC767" s="21">
        <f t="shared" si="783"/>
        <v>0</v>
      </c>
      <c r="BD767" s="21">
        <f t="shared" si="784"/>
        <v>0</v>
      </c>
      <c r="BE767" s="21">
        <f t="shared" si="785"/>
        <v>0</v>
      </c>
      <c r="BF767" s="21" t="s">
        <v>2492</v>
      </c>
      <c r="BG767" s="41" t="s">
        <v>1343</v>
      </c>
    </row>
    <row r="768" spans="1:59" x14ac:dyDescent="0.3">
      <c r="A768" s="4" t="s">
        <v>729</v>
      </c>
      <c r="B768" s="13"/>
      <c r="C768" s="13" t="s">
        <v>1346</v>
      </c>
      <c r="D768" s="101" t="s">
        <v>2724</v>
      </c>
      <c r="E768" s="102"/>
      <c r="F768" s="13" t="s">
        <v>2386</v>
      </c>
      <c r="G768" s="21">
        <v>1</v>
      </c>
      <c r="H768" s="21">
        <v>0</v>
      </c>
      <c r="I768" s="21">
        <f t="shared" si="760"/>
        <v>0</v>
      </c>
      <c r="J768" s="21">
        <f t="shared" si="761"/>
        <v>0</v>
      </c>
      <c r="K768" s="21">
        <f t="shared" si="762"/>
        <v>0</v>
      </c>
      <c r="L768" s="21">
        <v>0</v>
      </c>
      <c r="M768" s="21">
        <f t="shared" si="763"/>
        <v>0</v>
      </c>
      <c r="N768" s="35"/>
      <c r="O768" s="39"/>
      <c r="U768" s="41">
        <f t="shared" si="764"/>
        <v>0</v>
      </c>
      <c r="W768" s="41">
        <f t="shared" si="765"/>
        <v>0</v>
      </c>
      <c r="X768" s="41">
        <f t="shared" si="766"/>
        <v>0</v>
      </c>
      <c r="Y768" s="41">
        <f t="shared" si="767"/>
        <v>0</v>
      </c>
      <c r="Z768" s="41">
        <f t="shared" si="768"/>
        <v>0</v>
      </c>
      <c r="AA768" s="41">
        <f t="shared" si="769"/>
        <v>0</v>
      </c>
      <c r="AB768" s="41">
        <f t="shared" si="770"/>
        <v>0</v>
      </c>
      <c r="AC768" s="41">
        <f t="shared" si="771"/>
        <v>0</v>
      </c>
      <c r="AD768" s="31"/>
      <c r="AE768" s="21">
        <f t="shared" si="772"/>
        <v>0</v>
      </c>
      <c r="AF768" s="21">
        <f t="shared" si="773"/>
        <v>0</v>
      </c>
      <c r="AG768" s="21">
        <f t="shared" si="774"/>
        <v>0</v>
      </c>
      <c r="AI768" s="41">
        <v>21</v>
      </c>
      <c r="AJ768" s="41">
        <f t="shared" si="775"/>
        <v>0</v>
      </c>
      <c r="AK768" s="41">
        <f t="shared" si="776"/>
        <v>0</v>
      </c>
      <c r="AL768" s="42" t="s">
        <v>8</v>
      </c>
      <c r="AQ768" s="41">
        <f t="shared" si="777"/>
        <v>0</v>
      </c>
      <c r="AR768" s="41">
        <f t="shared" si="778"/>
        <v>0</v>
      </c>
      <c r="AS768" s="41">
        <f t="shared" si="779"/>
        <v>0</v>
      </c>
      <c r="AT768" s="44" t="s">
        <v>2470</v>
      </c>
      <c r="AU768" s="44" t="s">
        <v>2485</v>
      </c>
      <c r="AV768" s="31" t="s">
        <v>2486</v>
      </c>
      <c r="AX768" s="41">
        <f t="shared" si="780"/>
        <v>0</v>
      </c>
      <c r="AY768" s="41">
        <f t="shared" si="781"/>
        <v>0</v>
      </c>
      <c r="AZ768" s="41">
        <v>0</v>
      </c>
      <c r="BA768" s="41">
        <f t="shared" si="782"/>
        <v>0</v>
      </c>
      <c r="BC768" s="21">
        <f t="shared" si="783"/>
        <v>0</v>
      </c>
      <c r="BD768" s="21">
        <f t="shared" si="784"/>
        <v>0</v>
      </c>
      <c r="BE768" s="21">
        <f t="shared" si="785"/>
        <v>0</v>
      </c>
      <c r="BF768" s="21" t="s">
        <v>2492</v>
      </c>
      <c r="BG768" s="41" t="s">
        <v>1343</v>
      </c>
    </row>
    <row r="769" spans="1:59" x14ac:dyDescent="0.3">
      <c r="A769" s="4" t="s">
        <v>730</v>
      </c>
      <c r="B769" s="13"/>
      <c r="C769" s="13" t="s">
        <v>1347</v>
      </c>
      <c r="D769" s="101" t="s">
        <v>2725</v>
      </c>
      <c r="E769" s="102"/>
      <c r="F769" s="13" t="s">
        <v>2386</v>
      </c>
      <c r="G769" s="21">
        <v>1</v>
      </c>
      <c r="H769" s="21">
        <v>0</v>
      </c>
      <c r="I769" s="21">
        <f t="shared" si="760"/>
        <v>0</v>
      </c>
      <c r="J769" s="21">
        <f t="shared" si="761"/>
        <v>0</v>
      </c>
      <c r="K769" s="21">
        <f t="shared" si="762"/>
        <v>0</v>
      </c>
      <c r="L769" s="21">
        <v>0</v>
      </c>
      <c r="M769" s="21">
        <f t="shared" si="763"/>
        <v>0</v>
      </c>
      <c r="N769" s="35"/>
      <c r="O769" s="39"/>
      <c r="U769" s="41">
        <f t="shared" si="764"/>
        <v>0</v>
      </c>
      <c r="W769" s="41">
        <f t="shared" si="765"/>
        <v>0</v>
      </c>
      <c r="X769" s="41">
        <f t="shared" si="766"/>
        <v>0</v>
      </c>
      <c r="Y769" s="41">
        <f t="shared" si="767"/>
        <v>0</v>
      </c>
      <c r="Z769" s="41">
        <f t="shared" si="768"/>
        <v>0</v>
      </c>
      <c r="AA769" s="41">
        <f t="shared" si="769"/>
        <v>0</v>
      </c>
      <c r="AB769" s="41">
        <f t="shared" si="770"/>
        <v>0</v>
      </c>
      <c r="AC769" s="41">
        <f t="shared" si="771"/>
        <v>0</v>
      </c>
      <c r="AD769" s="31"/>
      <c r="AE769" s="21">
        <f t="shared" si="772"/>
        <v>0</v>
      </c>
      <c r="AF769" s="21">
        <f t="shared" si="773"/>
        <v>0</v>
      </c>
      <c r="AG769" s="21">
        <f t="shared" si="774"/>
        <v>0</v>
      </c>
      <c r="AI769" s="41">
        <v>21</v>
      </c>
      <c r="AJ769" s="41">
        <f t="shared" si="775"/>
        <v>0</v>
      </c>
      <c r="AK769" s="41">
        <f t="shared" si="776"/>
        <v>0</v>
      </c>
      <c r="AL769" s="42" t="s">
        <v>8</v>
      </c>
      <c r="AQ769" s="41">
        <f t="shared" si="777"/>
        <v>0</v>
      </c>
      <c r="AR769" s="41">
        <f t="shared" si="778"/>
        <v>0</v>
      </c>
      <c r="AS769" s="41">
        <f t="shared" si="779"/>
        <v>0</v>
      </c>
      <c r="AT769" s="44" t="s">
        <v>2470</v>
      </c>
      <c r="AU769" s="44" t="s">
        <v>2485</v>
      </c>
      <c r="AV769" s="31" t="s">
        <v>2486</v>
      </c>
      <c r="AX769" s="41">
        <f t="shared" si="780"/>
        <v>0</v>
      </c>
      <c r="AY769" s="41">
        <f t="shared" si="781"/>
        <v>0</v>
      </c>
      <c r="AZ769" s="41">
        <v>0</v>
      </c>
      <c r="BA769" s="41">
        <f t="shared" si="782"/>
        <v>0</v>
      </c>
      <c r="BC769" s="21">
        <f t="shared" si="783"/>
        <v>0</v>
      </c>
      <c r="BD769" s="21">
        <f t="shared" si="784"/>
        <v>0</v>
      </c>
      <c r="BE769" s="21">
        <f t="shared" si="785"/>
        <v>0</v>
      </c>
      <c r="BF769" s="21" t="s">
        <v>2492</v>
      </c>
      <c r="BG769" s="41" t="s">
        <v>1343</v>
      </c>
    </row>
    <row r="770" spans="1:59" x14ac:dyDescent="0.3">
      <c r="A770" s="4" t="s">
        <v>731</v>
      </c>
      <c r="B770" s="13"/>
      <c r="C770" s="13" t="s">
        <v>1348</v>
      </c>
      <c r="D770" s="101" t="s">
        <v>2726</v>
      </c>
      <c r="E770" s="102"/>
      <c r="F770" s="13" t="s">
        <v>2386</v>
      </c>
      <c r="G770" s="21">
        <v>1</v>
      </c>
      <c r="H770" s="21">
        <v>0</v>
      </c>
      <c r="I770" s="21">
        <f t="shared" si="760"/>
        <v>0</v>
      </c>
      <c r="J770" s="21">
        <f t="shared" si="761"/>
        <v>0</v>
      </c>
      <c r="K770" s="21">
        <f t="shared" si="762"/>
        <v>0</v>
      </c>
      <c r="L770" s="21">
        <v>0</v>
      </c>
      <c r="M770" s="21">
        <f t="shared" si="763"/>
        <v>0</v>
      </c>
      <c r="N770" s="35"/>
      <c r="O770" s="39"/>
      <c r="U770" s="41">
        <f t="shared" si="764"/>
        <v>0</v>
      </c>
      <c r="W770" s="41">
        <f t="shared" si="765"/>
        <v>0</v>
      </c>
      <c r="X770" s="41">
        <f t="shared" si="766"/>
        <v>0</v>
      </c>
      <c r="Y770" s="41">
        <f t="shared" si="767"/>
        <v>0</v>
      </c>
      <c r="Z770" s="41">
        <f t="shared" si="768"/>
        <v>0</v>
      </c>
      <c r="AA770" s="41">
        <f t="shared" si="769"/>
        <v>0</v>
      </c>
      <c r="AB770" s="41">
        <f t="shared" si="770"/>
        <v>0</v>
      </c>
      <c r="AC770" s="41">
        <f t="shared" si="771"/>
        <v>0</v>
      </c>
      <c r="AD770" s="31"/>
      <c r="AE770" s="21">
        <f t="shared" si="772"/>
        <v>0</v>
      </c>
      <c r="AF770" s="21">
        <f t="shared" si="773"/>
        <v>0</v>
      </c>
      <c r="AG770" s="21">
        <f t="shared" si="774"/>
        <v>0</v>
      </c>
      <c r="AI770" s="41">
        <v>21</v>
      </c>
      <c r="AJ770" s="41">
        <f t="shared" si="775"/>
        <v>0</v>
      </c>
      <c r="AK770" s="41">
        <f t="shared" si="776"/>
        <v>0</v>
      </c>
      <c r="AL770" s="42" t="s">
        <v>8</v>
      </c>
      <c r="AQ770" s="41">
        <f t="shared" si="777"/>
        <v>0</v>
      </c>
      <c r="AR770" s="41">
        <f t="shared" si="778"/>
        <v>0</v>
      </c>
      <c r="AS770" s="41">
        <f t="shared" si="779"/>
        <v>0</v>
      </c>
      <c r="AT770" s="44" t="s">
        <v>2470</v>
      </c>
      <c r="AU770" s="44" t="s">
        <v>2485</v>
      </c>
      <c r="AV770" s="31" t="s">
        <v>2486</v>
      </c>
      <c r="AX770" s="41">
        <f t="shared" si="780"/>
        <v>0</v>
      </c>
      <c r="AY770" s="41">
        <f t="shared" si="781"/>
        <v>0</v>
      </c>
      <c r="AZ770" s="41">
        <v>0</v>
      </c>
      <c r="BA770" s="41">
        <f t="shared" si="782"/>
        <v>0</v>
      </c>
      <c r="BC770" s="21">
        <f t="shared" si="783"/>
        <v>0</v>
      </c>
      <c r="BD770" s="21">
        <f t="shared" si="784"/>
        <v>0</v>
      </c>
      <c r="BE770" s="21">
        <f t="shared" si="785"/>
        <v>0</v>
      </c>
      <c r="BF770" s="21" t="s">
        <v>2492</v>
      </c>
      <c r="BG770" s="41" t="s">
        <v>1343</v>
      </c>
    </row>
    <row r="771" spans="1:59" x14ac:dyDescent="0.3">
      <c r="A771" s="4" t="s">
        <v>732</v>
      </c>
      <c r="B771" s="13"/>
      <c r="C771" s="13" t="s">
        <v>1349</v>
      </c>
      <c r="D771" s="101" t="s">
        <v>2727</v>
      </c>
      <c r="E771" s="102"/>
      <c r="F771" s="13" t="s">
        <v>2386</v>
      </c>
      <c r="G771" s="21">
        <v>1</v>
      </c>
      <c r="H771" s="21">
        <v>0</v>
      </c>
      <c r="I771" s="21">
        <f t="shared" si="760"/>
        <v>0</v>
      </c>
      <c r="J771" s="21">
        <f t="shared" si="761"/>
        <v>0</v>
      </c>
      <c r="K771" s="21">
        <f t="shared" si="762"/>
        <v>0</v>
      </c>
      <c r="L771" s="21">
        <v>0</v>
      </c>
      <c r="M771" s="21">
        <f t="shared" si="763"/>
        <v>0</v>
      </c>
      <c r="N771" s="35"/>
      <c r="O771" s="39"/>
      <c r="U771" s="41">
        <f t="shared" si="764"/>
        <v>0</v>
      </c>
      <c r="W771" s="41">
        <f t="shared" si="765"/>
        <v>0</v>
      </c>
      <c r="X771" s="41">
        <f t="shared" si="766"/>
        <v>0</v>
      </c>
      <c r="Y771" s="41">
        <f t="shared" si="767"/>
        <v>0</v>
      </c>
      <c r="Z771" s="41">
        <f t="shared" si="768"/>
        <v>0</v>
      </c>
      <c r="AA771" s="41">
        <f t="shared" si="769"/>
        <v>0</v>
      </c>
      <c r="AB771" s="41">
        <f t="shared" si="770"/>
        <v>0</v>
      </c>
      <c r="AC771" s="41">
        <f t="shared" si="771"/>
        <v>0</v>
      </c>
      <c r="AD771" s="31"/>
      <c r="AE771" s="21">
        <f t="shared" si="772"/>
        <v>0</v>
      </c>
      <c r="AF771" s="21">
        <f t="shared" si="773"/>
        <v>0</v>
      </c>
      <c r="AG771" s="21">
        <f t="shared" si="774"/>
        <v>0</v>
      </c>
      <c r="AI771" s="41">
        <v>21</v>
      </c>
      <c r="AJ771" s="41">
        <f t="shared" si="775"/>
        <v>0</v>
      </c>
      <c r="AK771" s="41">
        <f t="shared" si="776"/>
        <v>0</v>
      </c>
      <c r="AL771" s="42" t="s">
        <v>8</v>
      </c>
      <c r="AQ771" s="41">
        <f t="shared" si="777"/>
        <v>0</v>
      </c>
      <c r="AR771" s="41">
        <f t="shared" si="778"/>
        <v>0</v>
      </c>
      <c r="AS771" s="41">
        <f t="shared" si="779"/>
        <v>0</v>
      </c>
      <c r="AT771" s="44" t="s">
        <v>2470</v>
      </c>
      <c r="AU771" s="44" t="s">
        <v>2485</v>
      </c>
      <c r="AV771" s="31" t="s">
        <v>2486</v>
      </c>
      <c r="AX771" s="41">
        <f t="shared" si="780"/>
        <v>0</v>
      </c>
      <c r="AY771" s="41">
        <f t="shared" si="781"/>
        <v>0</v>
      </c>
      <c r="AZ771" s="41">
        <v>0</v>
      </c>
      <c r="BA771" s="41">
        <f t="shared" si="782"/>
        <v>0</v>
      </c>
      <c r="BC771" s="21">
        <f t="shared" si="783"/>
        <v>0</v>
      </c>
      <c r="BD771" s="21">
        <f t="shared" si="784"/>
        <v>0</v>
      </c>
      <c r="BE771" s="21">
        <f t="shared" si="785"/>
        <v>0</v>
      </c>
      <c r="BF771" s="21" t="s">
        <v>2492</v>
      </c>
      <c r="BG771" s="41" t="s">
        <v>1343</v>
      </c>
    </row>
    <row r="772" spans="1:59" x14ac:dyDescent="0.3">
      <c r="A772" s="4" t="s">
        <v>733</v>
      </c>
      <c r="B772" s="13"/>
      <c r="C772" s="13" t="s">
        <v>1350</v>
      </c>
      <c r="D772" s="101" t="s">
        <v>2149</v>
      </c>
      <c r="E772" s="102"/>
      <c r="F772" s="13" t="s">
        <v>2384</v>
      </c>
      <c r="G772" s="21">
        <v>21</v>
      </c>
      <c r="H772" s="21">
        <v>0</v>
      </c>
      <c r="I772" s="21">
        <f t="shared" si="760"/>
        <v>0</v>
      </c>
      <c r="J772" s="21">
        <f t="shared" si="761"/>
        <v>0</v>
      </c>
      <c r="K772" s="21">
        <f t="shared" si="762"/>
        <v>0</v>
      </c>
      <c r="L772" s="21">
        <v>0</v>
      </c>
      <c r="M772" s="21">
        <f t="shared" si="763"/>
        <v>0</v>
      </c>
      <c r="N772" s="35"/>
      <c r="O772" s="39"/>
      <c r="U772" s="41">
        <f t="shared" si="764"/>
        <v>0</v>
      </c>
      <c r="W772" s="41">
        <f t="shared" si="765"/>
        <v>0</v>
      </c>
      <c r="X772" s="41">
        <f t="shared" si="766"/>
        <v>0</v>
      </c>
      <c r="Y772" s="41">
        <f t="shared" si="767"/>
        <v>0</v>
      </c>
      <c r="Z772" s="41">
        <f t="shared" si="768"/>
        <v>0</v>
      </c>
      <c r="AA772" s="41">
        <f t="shared" si="769"/>
        <v>0</v>
      </c>
      <c r="AB772" s="41">
        <f t="shared" si="770"/>
        <v>0</v>
      </c>
      <c r="AC772" s="41">
        <f t="shared" si="771"/>
        <v>0</v>
      </c>
      <c r="AD772" s="31"/>
      <c r="AE772" s="21">
        <f t="shared" si="772"/>
        <v>0</v>
      </c>
      <c r="AF772" s="21">
        <f t="shared" si="773"/>
        <v>0</v>
      </c>
      <c r="AG772" s="21">
        <f t="shared" si="774"/>
        <v>0</v>
      </c>
      <c r="AI772" s="41">
        <v>21</v>
      </c>
      <c r="AJ772" s="41">
        <f t="shared" si="775"/>
        <v>0</v>
      </c>
      <c r="AK772" s="41">
        <f t="shared" si="776"/>
        <v>0</v>
      </c>
      <c r="AL772" s="42" t="s">
        <v>8</v>
      </c>
      <c r="AQ772" s="41">
        <f t="shared" si="777"/>
        <v>0</v>
      </c>
      <c r="AR772" s="41">
        <f t="shared" si="778"/>
        <v>0</v>
      </c>
      <c r="AS772" s="41">
        <f t="shared" si="779"/>
        <v>0</v>
      </c>
      <c r="AT772" s="44" t="s">
        <v>2470</v>
      </c>
      <c r="AU772" s="44" t="s">
        <v>2485</v>
      </c>
      <c r="AV772" s="31" t="s">
        <v>2486</v>
      </c>
      <c r="AX772" s="41">
        <f t="shared" si="780"/>
        <v>0</v>
      </c>
      <c r="AY772" s="41">
        <f t="shared" si="781"/>
        <v>0</v>
      </c>
      <c r="AZ772" s="41">
        <v>0</v>
      </c>
      <c r="BA772" s="41">
        <f t="shared" si="782"/>
        <v>0</v>
      </c>
      <c r="BC772" s="21">
        <f t="shared" si="783"/>
        <v>0</v>
      </c>
      <c r="BD772" s="21">
        <f t="shared" si="784"/>
        <v>0</v>
      </c>
      <c r="BE772" s="21">
        <f t="shared" si="785"/>
        <v>0</v>
      </c>
      <c r="BF772" s="21" t="s">
        <v>2492</v>
      </c>
      <c r="BG772" s="41" t="s">
        <v>1343</v>
      </c>
    </row>
    <row r="773" spans="1:59" x14ac:dyDescent="0.3">
      <c r="A773" s="4" t="s">
        <v>734</v>
      </c>
      <c r="B773" s="13"/>
      <c r="C773" s="13" t="s">
        <v>1351</v>
      </c>
      <c r="D773" s="101" t="s">
        <v>2150</v>
      </c>
      <c r="E773" s="102"/>
      <c r="F773" s="13" t="s">
        <v>2384</v>
      </c>
      <c r="G773" s="21">
        <v>28</v>
      </c>
      <c r="H773" s="21">
        <v>0</v>
      </c>
      <c r="I773" s="21">
        <f t="shared" si="760"/>
        <v>0</v>
      </c>
      <c r="J773" s="21">
        <f t="shared" si="761"/>
        <v>0</v>
      </c>
      <c r="K773" s="21">
        <f t="shared" si="762"/>
        <v>0</v>
      </c>
      <c r="L773" s="21">
        <v>0</v>
      </c>
      <c r="M773" s="21">
        <f t="shared" si="763"/>
        <v>0</v>
      </c>
      <c r="N773" s="35"/>
      <c r="O773" s="39"/>
      <c r="U773" s="41">
        <f t="shared" si="764"/>
        <v>0</v>
      </c>
      <c r="W773" s="41">
        <f t="shared" si="765"/>
        <v>0</v>
      </c>
      <c r="X773" s="41">
        <f t="shared" si="766"/>
        <v>0</v>
      </c>
      <c r="Y773" s="41">
        <f t="shared" si="767"/>
        <v>0</v>
      </c>
      <c r="Z773" s="41">
        <f t="shared" si="768"/>
        <v>0</v>
      </c>
      <c r="AA773" s="41">
        <f t="shared" si="769"/>
        <v>0</v>
      </c>
      <c r="AB773" s="41">
        <f t="shared" si="770"/>
        <v>0</v>
      </c>
      <c r="AC773" s="41">
        <f t="shared" si="771"/>
        <v>0</v>
      </c>
      <c r="AD773" s="31"/>
      <c r="AE773" s="21">
        <f t="shared" si="772"/>
        <v>0</v>
      </c>
      <c r="AF773" s="21">
        <f t="shared" si="773"/>
        <v>0</v>
      </c>
      <c r="AG773" s="21">
        <f t="shared" si="774"/>
        <v>0</v>
      </c>
      <c r="AI773" s="41">
        <v>21</v>
      </c>
      <c r="AJ773" s="41">
        <f t="shared" si="775"/>
        <v>0</v>
      </c>
      <c r="AK773" s="41">
        <f t="shared" si="776"/>
        <v>0</v>
      </c>
      <c r="AL773" s="42" t="s">
        <v>8</v>
      </c>
      <c r="AQ773" s="41">
        <f t="shared" si="777"/>
        <v>0</v>
      </c>
      <c r="AR773" s="41">
        <f t="shared" si="778"/>
        <v>0</v>
      </c>
      <c r="AS773" s="41">
        <f t="shared" si="779"/>
        <v>0</v>
      </c>
      <c r="AT773" s="44" t="s">
        <v>2470</v>
      </c>
      <c r="AU773" s="44" t="s">
        <v>2485</v>
      </c>
      <c r="AV773" s="31" t="s">
        <v>2486</v>
      </c>
      <c r="AX773" s="41">
        <f t="shared" si="780"/>
        <v>0</v>
      </c>
      <c r="AY773" s="41">
        <f t="shared" si="781"/>
        <v>0</v>
      </c>
      <c r="AZ773" s="41">
        <v>0</v>
      </c>
      <c r="BA773" s="41">
        <f t="shared" si="782"/>
        <v>0</v>
      </c>
      <c r="BC773" s="21">
        <f t="shared" si="783"/>
        <v>0</v>
      </c>
      <c r="BD773" s="21">
        <f t="shared" si="784"/>
        <v>0</v>
      </c>
      <c r="BE773" s="21">
        <f t="shared" si="785"/>
        <v>0</v>
      </c>
      <c r="BF773" s="21" t="s">
        <v>2492</v>
      </c>
      <c r="BG773" s="41" t="s">
        <v>1343</v>
      </c>
    </row>
    <row r="774" spans="1:59" x14ac:dyDescent="0.3">
      <c r="A774" s="4" t="s">
        <v>735</v>
      </c>
      <c r="B774" s="13"/>
      <c r="C774" s="13" t="s">
        <v>1352</v>
      </c>
      <c r="D774" s="101" t="s">
        <v>2151</v>
      </c>
      <c r="E774" s="102"/>
      <c r="F774" s="13" t="s">
        <v>2384</v>
      </c>
      <c r="G774" s="21">
        <v>20</v>
      </c>
      <c r="H774" s="21">
        <v>0</v>
      </c>
      <c r="I774" s="21">
        <f t="shared" si="760"/>
        <v>0</v>
      </c>
      <c r="J774" s="21">
        <f t="shared" si="761"/>
        <v>0</v>
      </c>
      <c r="K774" s="21">
        <f t="shared" si="762"/>
        <v>0</v>
      </c>
      <c r="L774" s="21">
        <v>0</v>
      </c>
      <c r="M774" s="21">
        <f t="shared" si="763"/>
        <v>0</v>
      </c>
      <c r="N774" s="35"/>
      <c r="O774" s="39"/>
      <c r="U774" s="41">
        <f t="shared" si="764"/>
        <v>0</v>
      </c>
      <c r="W774" s="41">
        <f t="shared" si="765"/>
        <v>0</v>
      </c>
      <c r="X774" s="41">
        <f t="shared" si="766"/>
        <v>0</v>
      </c>
      <c r="Y774" s="41">
        <f t="shared" si="767"/>
        <v>0</v>
      </c>
      <c r="Z774" s="41">
        <f t="shared" si="768"/>
        <v>0</v>
      </c>
      <c r="AA774" s="41">
        <f t="shared" si="769"/>
        <v>0</v>
      </c>
      <c r="AB774" s="41">
        <f t="shared" si="770"/>
        <v>0</v>
      </c>
      <c r="AC774" s="41">
        <f t="shared" si="771"/>
        <v>0</v>
      </c>
      <c r="AD774" s="31"/>
      <c r="AE774" s="21">
        <f t="shared" si="772"/>
        <v>0</v>
      </c>
      <c r="AF774" s="21">
        <f t="shared" si="773"/>
        <v>0</v>
      </c>
      <c r="AG774" s="21">
        <f t="shared" si="774"/>
        <v>0</v>
      </c>
      <c r="AI774" s="41">
        <v>21</v>
      </c>
      <c r="AJ774" s="41">
        <f t="shared" si="775"/>
        <v>0</v>
      </c>
      <c r="AK774" s="41">
        <f t="shared" si="776"/>
        <v>0</v>
      </c>
      <c r="AL774" s="42" t="s">
        <v>8</v>
      </c>
      <c r="AQ774" s="41">
        <f t="shared" si="777"/>
        <v>0</v>
      </c>
      <c r="AR774" s="41">
        <f t="shared" si="778"/>
        <v>0</v>
      </c>
      <c r="AS774" s="41">
        <f t="shared" si="779"/>
        <v>0</v>
      </c>
      <c r="AT774" s="44" t="s">
        <v>2470</v>
      </c>
      <c r="AU774" s="44" t="s">
        <v>2485</v>
      </c>
      <c r="AV774" s="31" t="s">
        <v>2486</v>
      </c>
      <c r="AX774" s="41">
        <f t="shared" si="780"/>
        <v>0</v>
      </c>
      <c r="AY774" s="41">
        <f t="shared" si="781"/>
        <v>0</v>
      </c>
      <c r="AZ774" s="41">
        <v>0</v>
      </c>
      <c r="BA774" s="41">
        <f t="shared" si="782"/>
        <v>0</v>
      </c>
      <c r="BC774" s="21">
        <f t="shared" si="783"/>
        <v>0</v>
      </c>
      <c r="BD774" s="21">
        <f t="shared" si="784"/>
        <v>0</v>
      </c>
      <c r="BE774" s="21">
        <f t="shared" si="785"/>
        <v>0</v>
      </c>
      <c r="BF774" s="21" t="s">
        <v>2492</v>
      </c>
      <c r="BG774" s="41" t="s">
        <v>1343</v>
      </c>
    </row>
    <row r="775" spans="1:59" x14ac:dyDescent="0.3">
      <c r="A775" s="4" t="s">
        <v>736</v>
      </c>
      <c r="B775" s="13"/>
      <c r="C775" s="13" t="s">
        <v>1353</v>
      </c>
      <c r="D775" s="101" t="s">
        <v>2152</v>
      </c>
      <c r="E775" s="102"/>
      <c r="F775" s="13" t="s">
        <v>2384</v>
      </c>
      <c r="G775" s="21">
        <v>8</v>
      </c>
      <c r="H775" s="21">
        <v>0</v>
      </c>
      <c r="I775" s="21">
        <f t="shared" si="760"/>
        <v>0</v>
      </c>
      <c r="J775" s="21">
        <f t="shared" si="761"/>
        <v>0</v>
      </c>
      <c r="K775" s="21">
        <f t="shared" si="762"/>
        <v>0</v>
      </c>
      <c r="L775" s="21">
        <v>0</v>
      </c>
      <c r="M775" s="21">
        <f t="shared" si="763"/>
        <v>0</v>
      </c>
      <c r="N775" s="35"/>
      <c r="O775" s="39"/>
      <c r="U775" s="41">
        <f t="shared" si="764"/>
        <v>0</v>
      </c>
      <c r="W775" s="41">
        <f t="shared" si="765"/>
        <v>0</v>
      </c>
      <c r="X775" s="41">
        <f t="shared" si="766"/>
        <v>0</v>
      </c>
      <c r="Y775" s="41">
        <f t="shared" si="767"/>
        <v>0</v>
      </c>
      <c r="Z775" s="41">
        <f t="shared" si="768"/>
        <v>0</v>
      </c>
      <c r="AA775" s="41">
        <f t="shared" si="769"/>
        <v>0</v>
      </c>
      <c r="AB775" s="41">
        <f t="shared" si="770"/>
        <v>0</v>
      </c>
      <c r="AC775" s="41">
        <f t="shared" si="771"/>
        <v>0</v>
      </c>
      <c r="AD775" s="31"/>
      <c r="AE775" s="21">
        <f t="shared" si="772"/>
        <v>0</v>
      </c>
      <c r="AF775" s="21">
        <f t="shared" si="773"/>
        <v>0</v>
      </c>
      <c r="AG775" s="21">
        <f t="shared" si="774"/>
        <v>0</v>
      </c>
      <c r="AI775" s="41">
        <v>21</v>
      </c>
      <c r="AJ775" s="41">
        <f t="shared" si="775"/>
        <v>0</v>
      </c>
      <c r="AK775" s="41">
        <f t="shared" si="776"/>
        <v>0</v>
      </c>
      <c r="AL775" s="42" t="s">
        <v>8</v>
      </c>
      <c r="AQ775" s="41">
        <f t="shared" si="777"/>
        <v>0</v>
      </c>
      <c r="AR775" s="41">
        <f t="shared" si="778"/>
        <v>0</v>
      </c>
      <c r="AS775" s="41">
        <f t="shared" si="779"/>
        <v>0</v>
      </c>
      <c r="AT775" s="44" t="s">
        <v>2470</v>
      </c>
      <c r="AU775" s="44" t="s">
        <v>2485</v>
      </c>
      <c r="AV775" s="31" t="s">
        <v>2486</v>
      </c>
      <c r="AX775" s="41">
        <f t="shared" si="780"/>
        <v>0</v>
      </c>
      <c r="AY775" s="41">
        <f t="shared" si="781"/>
        <v>0</v>
      </c>
      <c r="AZ775" s="41">
        <v>0</v>
      </c>
      <c r="BA775" s="41">
        <f t="shared" si="782"/>
        <v>0</v>
      </c>
      <c r="BC775" s="21">
        <f t="shared" si="783"/>
        <v>0</v>
      </c>
      <c r="BD775" s="21">
        <f t="shared" si="784"/>
        <v>0</v>
      </c>
      <c r="BE775" s="21">
        <f t="shared" si="785"/>
        <v>0</v>
      </c>
      <c r="BF775" s="21" t="s">
        <v>2492</v>
      </c>
      <c r="BG775" s="41" t="s">
        <v>1343</v>
      </c>
    </row>
    <row r="776" spans="1:59" x14ac:dyDescent="0.3">
      <c r="A776" s="4" t="s">
        <v>737</v>
      </c>
      <c r="B776" s="13"/>
      <c r="C776" s="13" t="s">
        <v>1354</v>
      </c>
      <c r="D776" s="101" t="s">
        <v>2153</v>
      </c>
      <c r="E776" s="102"/>
      <c r="F776" s="13" t="s">
        <v>2384</v>
      </c>
      <c r="G776" s="21">
        <v>33</v>
      </c>
      <c r="H776" s="21">
        <v>0</v>
      </c>
      <c r="I776" s="21">
        <f t="shared" si="760"/>
        <v>0</v>
      </c>
      <c r="J776" s="21">
        <f t="shared" si="761"/>
        <v>0</v>
      </c>
      <c r="K776" s="21">
        <f t="shared" si="762"/>
        <v>0</v>
      </c>
      <c r="L776" s="21">
        <v>0</v>
      </c>
      <c r="M776" s="21">
        <f t="shared" si="763"/>
        <v>0</v>
      </c>
      <c r="N776" s="35"/>
      <c r="O776" s="39"/>
      <c r="U776" s="41">
        <f t="shared" si="764"/>
        <v>0</v>
      </c>
      <c r="W776" s="41">
        <f t="shared" si="765"/>
        <v>0</v>
      </c>
      <c r="X776" s="41">
        <f t="shared" si="766"/>
        <v>0</v>
      </c>
      <c r="Y776" s="41">
        <f t="shared" si="767"/>
        <v>0</v>
      </c>
      <c r="Z776" s="41">
        <f t="shared" si="768"/>
        <v>0</v>
      </c>
      <c r="AA776" s="41">
        <f t="shared" si="769"/>
        <v>0</v>
      </c>
      <c r="AB776" s="41">
        <f t="shared" si="770"/>
        <v>0</v>
      </c>
      <c r="AC776" s="41">
        <f t="shared" si="771"/>
        <v>0</v>
      </c>
      <c r="AD776" s="31"/>
      <c r="AE776" s="21">
        <f t="shared" si="772"/>
        <v>0</v>
      </c>
      <c r="AF776" s="21">
        <f t="shared" si="773"/>
        <v>0</v>
      </c>
      <c r="AG776" s="21">
        <f t="shared" si="774"/>
        <v>0</v>
      </c>
      <c r="AI776" s="41">
        <v>21</v>
      </c>
      <c r="AJ776" s="41">
        <f t="shared" si="775"/>
        <v>0</v>
      </c>
      <c r="AK776" s="41">
        <f t="shared" si="776"/>
        <v>0</v>
      </c>
      <c r="AL776" s="42" t="s">
        <v>8</v>
      </c>
      <c r="AQ776" s="41">
        <f t="shared" si="777"/>
        <v>0</v>
      </c>
      <c r="AR776" s="41">
        <f t="shared" si="778"/>
        <v>0</v>
      </c>
      <c r="AS776" s="41">
        <f t="shared" si="779"/>
        <v>0</v>
      </c>
      <c r="AT776" s="44" t="s">
        <v>2470</v>
      </c>
      <c r="AU776" s="44" t="s">
        <v>2485</v>
      </c>
      <c r="AV776" s="31" t="s">
        <v>2486</v>
      </c>
      <c r="AX776" s="41">
        <f t="shared" si="780"/>
        <v>0</v>
      </c>
      <c r="AY776" s="41">
        <f t="shared" si="781"/>
        <v>0</v>
      </c>
      <c r="AZ776" s="41">
        <v>0</v>
      </c>
      <c r="BA776" s="41">
        <f t="shared" si="782"/>
        <v>0</v>
      </c>
      <c r="BC776" s="21">
        <f t="shared" si="783"/>
        <v>0</v>
      </c>
      <c r="BD776" s="21">
        <f t="shared" si="784"/>
        <v>0</v>
      </c>
      <c r="BE776" s="21">
        <f t="shared" si="785"/>
        <v>0</v>
      </c>
      <c r="BF776" s="21" t="s">
        <v>2492</v>
      </c>
      <c r="BG776" s="41" t="s">
        <v>1343</v>
      </c>
    </row>
    <row r="777" spans="1:59" x14ac:dyDescent="0.3">
      <c r="A777" s="4" t="s">
        <v>738</v>
      </c>
      <c r="B777" s="13"/>
      <c r="C777" s="13" t="s">
        <v>1355</v>
      </c>
      <c r="D777" s="101" t="s">
        <v>2154</v>
      </c>
      <c r="E777" s="102"/>
      <c r="F777" s="13" t="s">
        <v>2384</v>
      </c>
      <c r="G777" s="21">
        <v>138</v>
      </c>
      <c r="H777" s="21">
        <v>0</v>
      </c>
      <c r="I777" s="21">
        <f t="shared" si="760"/>
        <v>0</v>
      </c>
      <c r="J777" s="21">
        <f t="shared" si="761"/>
        <v>0</v>
      </c>
      <c r="K777" s="21">
        <f t="shared" si="762"/>
        <v>0</v>
      </c>
      <c r="L777" s="21">
        <v>0</v>
      </c>
      <c r="M777" s="21">
        <f t="shared" si="763"/>
        <v>0</v>
      </c>
      <c r="N777" s="35"/>
      <c r="O777" s="39"/>
      <c r="U777" s="41">
        <f t="shared" si="764"/>
        <v>0</v>
      </c>
      <c r="W777" s="41">
        <f t="shared" si="765"/>
        <v>0</v>
      </c>
      <c r="X777" s="41">
        <f t="shared" si="766"/>
        <v>0</v>
      </c>
      <c r="Y777" s="41">
        <f t="shared" si="767"/>
        <v>0</v>
      </c>
      <c r="Z777" s="41">
        <f t="shared" si="768"/>
        <v>0</v>
      </c>
      <c r="AA777" s="41">
        <f t="shared" si="769"/>
        <v>0</v>
      </c>
      <c r="AB777" s="41">
        <f t="shared" si="770"/>
        <v>0</v>
      </c>
      <c r="AC777" s="41">
        <f t="shared" si="771"/>
        <v>0</v>
      </c>
      <c r="AD777" s="31"/>
      <c r="AE777" s="21">
        <f t="shared" si="772"/>
        <v>0</v>
      </c>
      <c r="AF777" s="21">
        <f t="shared" si="773"/>
        <v>0</v>
      </c>
      <c r="AG777" s="21">
        <f t="shared" si="774"/>
        <v>0</v>
      </c>
      <c r="AI777" s="41">
        <v>21</v>
      </c>
      <c r="AJ777" s="41">
        <f t="shared" si="775"/>
        <v>0</v>
      </c>
      <c r="AK777" s="41">
        <f t="shared" si="776"/>
        <v>0</v>
      </c>
      <c r="AL777" s="42" t="s">
        <v>8</v>
      </c>
      <c r="AQ777" s="41">
        <f t="shared" si="777"/>
        <v>0</v>
      </c>
      <c r="AR777" s="41">
        <f t="shared" si="778"/>
        <v>0</v>
      </c>
      <c r="AS777" s="41">
        <f t="shared" si="779"/>
        <v>0</v>
      </c>
      <c r="AT777" s="44" t="s">
        <v>2470</v>
      </c>
      <c r="AU777" s="44" t="s">
        <v>2485</v>
      </c>
      <c r="AV777" s="31" t="s">
        <v>2486</v>
      </c>
      <c r="AX777" s="41">
        <f t="shared" si="780"/>
        <v>0</v>
      </c>
      <c r="AY777" s="41">
        <f t="shared" si="781"/>
        <v>0</v>
      </c>
      <c r="AZ777" s="41">
        <v>0</v>
      </c>
      <c r="BA777" s="41">
        <f t="shared" si="782"/>
        <v>0</v>
      </c>
      <c r="BC777" s="21">
        <f t="shared" si="783"/>
        <v>0</v>
      </c>
      <c r="BD777" s="21">
        <f t="shared" si="784"/>
        <v>0</v>
      </c>
      <c r="BE777" s="21">
        <f t="shared" si="785"/>
        <v>0</v>
      </c>
      <c r="BF777" s="21" t="s">
        <v>2492</v>
      </c>
      <c r="BG777" s="41" t="s">
        <v>1343</v>
      </c>
    </row>
    <row r="778" spans="1:59" x14ac:dyDescent="0.3">
      <c r="A778" s="4" t="s">
        <v>739</v>
      </c>
      <c r="B778" s="13"/>
      <c r="C778" s="13" t="s">
        <v>1356</v>
      </c>
      <c r="D778" s="101" t="s">
        <v>2155</v>
      </c>
      <c r="E778" s="102"/>
      <c r="F778" s="13" t="s">
        <v>2384</v>
      </c>
      <c r="G778" s="21">
        <v>10</v>
      </c>
      <c r="H778" s="21">
        <v>0</v>
      </c>
      <c r="I778" s="21">
        <f t="shared" si="760"/>
        <v>0</v>
      </c>
      <c r="J778" s="21">
        <f t="shared" si="761"/>
        <v>0</v>
      </c>
      <c r="K778" s="21">
        <f t="shared" si="762"/>
        <v>0</v>
      </c>
      <c r="L778" s="21">
        <v>0</v>
      </c>
      <c r="M778" s="21">
        <f t="shared" si="763"/>
        <v>0</v>
      </c>
      <c r="N778" s="35"/>
      <c r="O778" s="39"/>
      <c r="U778" s="41">
        <f t="shared" si="764"/>
        <v>0</v>
      </c>
      <c r="W778" s="41">
        <f t="shared" si="765"/>
        <v>0</v>
      </c>
      <c r="X778" s="41">
        <f t="shared" si="766"/>
        <v>0</v>
      </c>
      <c r="Y778" s="41">
        <f t="shared" si="767"/>
        <v>0</v>
      </c>
      <c r="Z778" s="41">
        <f t="shared" si="768"/>
        <v>0</v>
      </c>
      <c r="AA778" s="41">
        <f t="shared" si="769"/>
        <v>0</v>
      </c>
      <c r="AB778" s="41">
        <f t="shared" si="770"/>
        <v>0</v>
      </c>
      <c r="AC778" s="41">
        <f t="shared" si="771"/>
        <v>0</v>
      </c>
      <c r="AD778" s="31"/>
      <c r="AE778" s="21">
        <f t="shared" si="772"/>
        <v>0</v>
      </c>
      <c r="AF778" s="21">
        <f t="shared" si="773"/>
        <v>0</v>
      </c>
      <c r="AG778" s="21">
        <f t="shared" si="774"/>
        <v>0</v>
      </c>
      <c r="AI778" s="41">
        <v>21</v>
      </c>
      <c r="AJ778" s="41">
        <f t="shared" si="775"/>
        <v>0</v>
      </c>
      <c r="AK778" s="41">
        <f t="shared" si="776"/>
        <v>0</v>
      </c>
      <c r="AL778" s="42" t="s">
        <v>8</v>
      </c>
      <c r="AQ778" s="41">
        <f t="shared" si="777"/>
        <v>0</v>
      </c>
      <c r="AR778" s="41">
        <f t="shared" si="778"/>
        <v>0</v>
      </c>
      <c r="AS778" s="41">
        <f t="shared" si="779"/>
        <v>0</v>
      </c>
      <c r="AT778" s="44" t="s">
        <v>2470</v>
      </c>
      <c r="AU778" s="44" t="s">
        <v>2485</v>
      </c>
      <c r="AV778" s="31" t="s">
        <v>2486</v>
      </c>
      <c r="AX778" s="41">
        <f t="shared" si="780"/>
        <v>0</v>
      </c>
      <c r="AY778" s="41">
        <f t="shared" si="781"/>
        <v>0</v>
      </c>
      <c r="AZ778" s="41">
        <v>0</v>
      </c>
      <c r="BA778" s="41">
        <f t="shared" si="782"/>
        <v>0</v>
      </c>
      <c r="BC778" s="21">
        <f t="shared" si="783"/>
        <v>0</v>
      </c>
      <c r="BD778" s="21">
        <f t="shared" si="784"/>
        <v>0</v>
      </c>
      <c r="BE778" s="21">
        <f t="shared" si="785"/>
        <v>0</v>
      </c>
      <c r="BF778" s="21" t="s">
        <v>2492</v>
      </c>
      <c r="BG778" s="41" t="s">
        <v>1343</v>
      </c>
    </row>
    <row r="779" spans="1:59" x14ac:dyDescent="0.3">
      <c r="A779" s="4" t="s">
        <v>740</v>
      </c>
      <c r="B779" s="13"/>
      <c r="C779" s="13" t="s">
        <v>1357</v>
      </c>
      <c r="D779" s="101" t="s">
        <v>2156</v>
      </c>
      <c r="E779" s="102"/>
      <c r="F779" s="13" t="s">
        <v>2384</v>
      </c>
      <c r="G779" s="21">
        <v>11</v>
      </c>
      <c r="H779" s="21">
        <v>0</v>
      </c>
      <c r="I779" s="21">
        <f t="shared" si="760"/>
        <v>0</v>
      </c>
      <c r="J779" s="21">
        <f t="shared" si="761"/>
        <v>0</v>
      </c>
      <c r="K779" s="21">
        <f t="shared" si="762"/>
        <v>0</v>
      </c>
      <c r="L779" s="21">
        <v>0</v>
      </c>
      <c r="M779" s="21">
        <f t="shared" si="763"/>
        <v>0</v>
      </c>
      <c r="N779" s="35"/>
      <c r="O779" s="39"/>
      <c r="U779" s="41">
        <f t="shared" si="764"/>
        <v>0</v>
      </c>
      <c r="W779" s="41">
        <f t="shared" si="765"/>
        <v>0</v>
      </c>
      <c r="X779" s="41">
        <f t="shared" si="766"/>
        <v>0</v>
      </c>
      <c r="Y779" s="41">
        <f t="shared" si="767"/>
        <v>0</v>
      </c>
      <c r="Z779" s="41">
        <f t="shared" si="768"/>
        <v>0</v>
      </c>
      <c r="AA779" s="41">
        <f t="shared" si="769"/>
        <v>0</v>
      </c>
      <c r="AB779" s="41">
        <f t="shared" si="770"/>
        <v>0</v>
      </c>
      <c r="AC779" s="41">
        <f t="shared" si="771"/>
        <v>0</v>
      </c>
      <c r="AD779" s="31"/>
      <c r="AE779" s="21">
        <f t="shared" si="772"/>
        <v>0</v>
      </c>
      <c r="AF779" s="21">
        <f t="shared" si="773"/>
        <v>0</v>
      </c>
      <c r="AG779" s="21">
        <f t="shared" si="774"/>
        <v>0</v>
      </c>
      <c r="AI779" s="41">
        <v>21</v>
      </c>
      <c r="AJ779" s="41">
        <f t="shared" si="775"/>
        <v>0</v>
      </c>
      <c r="AK779" s="41">
        <f t="shared" si="776"/>
        <v>0</v>
      </c>
      <c r="AL779" s="42" t="s">
        <v>8</v>
      </c>
      <c r="AQ779" s="41">
        <f t="shared" si="777"/>
        <v>0</v>
      </c>
      <c r="AR779" s="41">
        <f t="shared" si="778"/>
        <v>0</v>
      </c>
      <c r="AS779" s="41">
        <f t="shared" si="779"/>
        <v>0</v>
      </c>
      <c r="AT779" s="44" t="s">
        <v>2470</v>
      </c>
      <c r="AU779" s="44" t="s">
        <v>2485</v>
      </c>
      <c r="AV779" s="31" t="s">
        <v>2486</v>
      </c>
      <c r="AX779" s="41">
        <f t="shared" si="780"/>
        <v>0</v>
      </c>
      <c r="AY779" s="41">
        <f t="shared" si="781"/>
        <v>0</v>
      </c>
      <c r="AZ779" s="41">
        <v>0</v>
      </c>
      <c r="BA779" s="41">
        <f t="shared" si="782"/>
        <v>0</v>
      </c>
      <c r="BC779" s="21">
        <f t="shared" si="783"/>
        <v>0</v>
      </c>
      <c r="BD779" s="21">
        <f t="shared" si="784"/>
        <v>0</v>
      </c>
      <c r="BE779" s="21">
        <f t="shared" si="785"/>
        <v>0</v>
      </c>
      <c r="BF779" s="21" t="s">
        <v>2492</v>
      </c>
      <c r="BG779" s="41" t="s">
        <v>1343</v>
      </c>
    </row>
    <row r="780" spans="1:59" x14ac:dyDescent="0.3">
      <c r="A780" s="4" t="s">
        <v>741</v>
      </c>
      <c r="B780" s="13"/>
      <c r="C780" s="13" t="s">
        <v>1358</v>
      </c>
      <c r="D780" s="101" t="s">
        <v>2157</v>
      </c>
      <c r="E780" s="102"/>
      <c r="F780" s="13" t="s">
        <v>2384</v>
      </c>
      <c r="G780" s="21">
        <v>12</v>
      </c>
      <c r="H780" s="21">
        <v>0</v>
      </c>
      <c r="I780" s="21">
        <f t="shared" si="760"/>
        <v>0</v>
      </c>
      <c r="J780" s="21">
        <f t="shared" si="761"/>
        <v>0</v>
      </c>
      <c r="K780" s="21">
        <f t="shared" si="762"/>
        <v>0</v>
      </c>
      <c r="L780" s="21">
        <v>0</v>
      </c>
      <c r="M780" s="21">
        <f t="shared" si="763"/>
        <v>0</v>
      </c>
      <c r="N780" s="35"/>
      <c r="O780" s="39"/>
      <c r="U780" s="41">
        <f t="shared" si="764"/>
        <v>0</v>
      </c>
      <c r="W780" s="41">
        <f t="shared" si="765"/>
        <v>0</v>
      </c>
      <c r="X780" s="41">
        <f t="shared" si="766"/>
        <v>0</v>
      </c>
      <c r="Y780" s="41">
        <f t="shared" si="767"/>
        <v>0</v>
      </c>
      <c r="Z780" s="41">
        <f t="shared" si="768"/>
        <v>0</v>
      </c>
      <c r="AA780" s="41">
        <f t="shared" si="769"/>
        <v>0</v>
      </c>
      <c r="AB780" s="41">
        <f t="shared" si="770"/>
        <v>0</v>
      </c>
      <c r="AC780" s="41">
        <f t="shared" si="771"/>
        <v>0</v>
      </c>
      <c r="AD780" s="31"/>
      <c r="AE780" s="21">
        <f t="shared" si="772"/>
        <v>0</v>
      </c>
      <c r="AF780" s="21">
        <f t="shared" si="773"/>
        <v>0</v>
      </c>
      <c r="AG780" s="21">
        <f t="shared" si="774"/>
        <v>0</v>
      </c>
      <c r="AI780" s="41">
        <v>21</v>
      </c>
      <c r="AJ780" s="41">
        <f t="shared" si="775"/>
        <v>0</v>
      </c>
      <c r="AK780" s="41">
        <f t="shared" si="776"/>
        <v>0</v>
      </c>
      <c r="AL780" s="42" t="s">
        <v>8</v>
      </c>
      <c r="AQ780" s="41">
        <f t="shared" si="777"/>
        <v>0</v>
      </c>
      <c r="AR780" s="41">
        <f t="shared" si="778"/>
        <v>0</v>
      </c>
      <c r="AS780" s="41">
        <f t="shared" si="779"/>
        <v>0</v>
      </c>
      <c r="AT780" s="44" t="s">
        <v>2470</v>
      </c>
      <c r="AU780" s="44" t="s">
        <v>2485</v>
      </c>
      <c r="AV780" s="31" t="s">
        <v>2486</v>
      </c>
      <c r="AX780" s="41">
        <f t="shared" si="780"/>
        <v>0</v>
      </c>
      <c r="AY780" s="41">
        <f t="shared" si="781"/>
        <v>0</v>
      </c>
      <c r="AZ780" s="41">
        <v>0</v>
      </c>
      <c r="BA780" s="41">
        <f t="shared" si="782"/>
        <v>0</v>
      </c>
      <c r="BC780" s="21">
        <f t="shared" si="783"/>
        <v>0</v>
      </c>
      <c r="BD780" s="21">
        <f t="shared" si="784"/>
        <v>0</v>
      </c>
      <c r="BE780" s="21">
        <f t="shared" si="785"/>
        <v>0</v>
      </c>
      <c r="BF780" s="21" t="s">
        <v>2492</v>
      </c>
      <c r="BG780" s="41" t="s">
        <v>1343</v>
      </c>
    </row>
    <row r="781" spans="1:59" x14ac:dyDescent="0.3">
      <c r="A781" s="4" t="s">
        <v>742</v>
      </c>
      <c r="B781" s="13"/>
      <c r="C781" s="13" t="s">
        <v>1359</v>
      </c>
      <c r="D781" s="101" t="s">
        <v>2158</v>
      </c>
      <c r="E781" s="102"/>
      <c r="F781" s="13" t="s">
        <v>2384</v>
      </c>
      <c r="G781" s="21">
        <v>112</v>
      </c>
      <c r="H781" s="21">
        <v>0</v>
      </c>
      <c r="I781" s="21">
        <f t="shared" si="760"/>
        <v>0</v>
      </c>
      <c r="J781" s="21">
        <f t="shared" si="761"/>
        <v>0</v>
      </c>
      <c r="K781" s="21">
        <f t="shared" si="762"/>
        <v>0</v>
      </c>
      <c r="L781" s="21">
        <v>0</v>
      </c>
      <c r="M781" s="21">
        <f t="shared" si="763"/>
        <v>0</v>
      </c>
      <c r="N781" s="35"/>
      <c r="O781" s="39"/>
      <c r="U781" s="41">
        <f t="shared" si="764"/>
        <v>0</v>
      </c>
      <c r="W781" s="41">
        <f t="shared" si="765"/>
        <v>0</v>
      </c>
      <c r="X781" s="41">
        <f t="shared" si="766"/>
        <v>0</v>
      </c>
      <c r="Y781" s="41">
        <f t="shared" si="767"/>
        <v>0</v>
      </c>
      <c r="Z781" s="41">
        <f t="shared" si="768"/>
        <v>0</v>
      </c>
      <c r="AA781" s="41">
        <f t="shared" si="769"/>
        <v>0</v>
      </c>
      <c r="AB781" s="41">
        <f t="shared" si="770"/>
        <v>0</v>
      </c>
      <c r="AC781" s="41">
        <f t="shared" si="771"/>
        <v>0</v>
      </c>
      <c r="AD781" s="31"/>
      <c r="AE781" s="21">
        <f t="shared" si="772"/>
        <v>0</v>
      </c>
      <c r="AF781" s="21">
        <f t="shared" si="773"/>
        <v>0</v>
      </c>
      <c r="AG781" s="21">
        <f t="shared" si="774"/>
        <v>0</v>
      </c>
      <c r="AI781" s="41">
        <v>21</v>
      </c>
      <c r="AJ781" s="41">
        <f t="shared" si="775"/>
        <v>0</v>
      </c>
      <c r="AK781" s="41">
        <f t="shared" si="776"/>
        <v>0</v>
      </c>
      <c r="AL781" s="42" t="s">
        <v>8</v>
      </c>
      <c r="AQ781" s="41">
        <f t="shared" si="777"/>
        <v>0</v>
      </c>
      <c r="AR781" s="41">
        <f t="shared" si="778"/>
        <v>0</v>
      </c>
      <c r="AS781" s="41">
        <f t="shared" si="779"/>
        <v>0</v>
      </c>
      <c r="AT781" s="44" t="s">
        <v>2470</v>
      </c>
      <c r="AU781" s="44" t="s">
        <v>2485</v>
      </c>
      <c r="AV781" s="31" t="s">
        <v>2486</v>
      </c>
      <c r="AX781" s="41">
        <f t="shared" si="780"/>
        <v>0</v>
      </c>
      <c r="AY781" s="41">
        <f t="shared" si="781"/>
        <v>0</v>
      </c>
      <c r="AZ781" s="41">
        <v>0</v>
      </c>
      <c r="BA781" s="41">
        <f t="shared" si="782"/>
        <v>0</v>
      </c>
      <c r="BC781" s="21">
        <f t="shared" si="783"/>
        <v>0</v>
      </c>
      <c r="BD781" s="21">
        <f t="shared" si="784"/>
        <v>0</v>
      </c>
      <c r="BE781" s="21">
        <f t="shared" si="785"/>
        <v>0</v>
      </c>
      <c r="BF781" s="21" t="s">
        <v>2492</v>
      </c>
      <c r="BG781" s="41" t="s">
        <v>1343</v>
      </c>
    </row>
    <row r="782" spans="1:59" x14ac:dyDescent="0.3">
      <c r="A782" s="4" t="s">
        <v>743</v>
      </c>
      <c r="B782" s="13"/>
      <c r="C782" s="13" t="s">
        <v>1360</v>
      </c>
      <c r="D782" s="101" t="s">
        <v>2159</v>
      </c>
      <c r="E782" s="102"/>
      <c r="F782" s="13" t="s">
        <v>2384</v>
      </c>
      <c r="G782" s="21">
        <v>49</v>
      </c>
      <c r="H782" s="21">
        <v>0</v>
      </c>
      <c r="I782" s="21">
        <f t="shared" si="760"/>
        <v>0</v>
      </c>
      <c r="J782" s="21">
        <f t="shared" si="761"/>
        <v>0</v>
      </c>
      <c r="K782" s="21">
        <f t="shared" si="762"/>
        <v>0</v>
      </c>
      <c r="L782" s="21">
        <v>0</v>
      </c>
      <c r="M782" s="21">
        <f t="shared" si="763"/>
        <v>0</v>
      </c>
      <c r="N782" s="35"/>
      <c r="O782" s="39"/>
      <c r="U782" s="41">
        <f t="shared" si="764"/>
        <v>0</v>
      </c>
      <c r="W782" s="41">
        <f t="shared" si="765"/>
        <v>0</v>
      </c>
      <c r="X782" s="41">
        <f t="shared" si="766"/>
        <v>0</v>
      </c>
      <c r="Y782" s="41">
        <f t="shared" si="767"/>
        <v>0</v>
      </c>
      <c r="Z782" s="41">
        <f t="shared" si="768"/>
        <v>0</v>
      </c>
      <c r="AA782" s="41">
        <f t="shared" si="769"/>
        <v>0</v>
      </c>
      <c r="AB782" s="41">
        <f t="shared" si="770"/>
        <v>0</v>
      </c>
      <c r="AC782" s="41">
        <f t="shared" si="771"/>
        <v>0</v>
      </c>
      <c r="AD782" s="31"/>
      <c r="AE782" s="21">
        <f t="shared" si="772"/>
        <v>0</v>
      </c>
      <c r="AF782" s="21">
        <f t="shared" si="773"/>
        <v>0</v>
      </c>
      <c r="AG782" s="21">
        <f t="shared" si="774"/>
        <v>0</v>
      </c>
      <c r="AI782" s="41">
        <v>21</v>
      </c>
      <c r="AJ782" s="41">
        <f t="shared" si="775"/>
        <v>0</v>
      </c>
      <c r="AK782" s="41">
        <f t="shared" si="776"/>
        <v>0</v>
      </c>
      <c r="AL782" s="42" t="s">
        <v>8</v>
      </c>
      <c r="AQ782" s="41">
        <f t="shared" si="777"/>
        <v>0</v>
      </c>
      <c r="AR782" s="41">
        <f t="shared" si="778"/>
        <v>0</v>
      </c>
      <c r="AS782" s="41">
        <f t="shared" si="779"/>
        <v>0</v>
      </c>
      <c r="AT782" s="44" t="s">
        <v>2470</v>
      </c>
      <c r="AU782" s="44" t="s">
        <v>2485</v>
      </c>
      <c r="AV782" s="31" t="s">
        <v>2486</v>
      </c>
      <c r="AX782" s="41">
        <f t="shared" si="780"/>
        <v>0</v>
      </c>
      <c r="AY782" s="41">
        <f t="shared" si="781"/>
        <v>0</v>
      </c>
      <c r="AZ782" s="41">
        <v>0</v>
      </c>
      <c r="BA782" s="41">
        <f t="shared" si="782"/>
        <v>0</v>
      </c>
      <c r="BC782" s="21">
        <f t="shared" si="783"/>
        <v>0</v>
      </c>
      <c r="BD782" s="21">
        <f t="shared" si="784"/>
        <v>0</v>
      </c>
      <c r="BE782" s="21">
        <f t="shared" si="785"/>
        <v>0</v>
      </c>
      <c r="BF782" s="21" t="s">
        <v>2492</v>
      </c>
      <c r="BG782" s="41" t="s">
        <v>1343</v>
      </c>
    </row>
    <row r="783" spans="1:59" x14ac:dyDescent="0.3">
      <c r="A783" s="4" t="s">
        <v>744</v>
      </c>
      <c r="B783" s="13"/>
      <c r="C783" s="13" t="s">
        <v>1361</v>
      </c>
      <c r="D783" s="101" t="s">
        <v>2160</v>
      </c>
      <c r="E783" s="102"/>
      <c r="F783" s="13" t="s">
        <v>2385</v>
      </c>
      <c r="G783" s="21">
        <v>234</v>
      </c>
      <c r="H783" s="21">
        <v>0</v>
      </c>
      <c r="I783" s="21">
        <f t="shared" si="760"/>
        <v>0</v>
      </c>
      <c r="J783" s="21">
        <f t="shared" si="761"/>
        <v>0</v>
      </c>
      <c r="K783" s="21">
        <f t="shared" si="762"/>
        <v>0</v>
      </c>
      <c r="L783" s="21">
        <v>0</v>
      </c>
      <c r="M783" s="21">
        <f t="shared" si="763"/>
        <v>0</v>
      </c>
      <c r="N783" s="35"/>
      <c r="O783" s="39"/>
      <c r="U783" s="41">
        <f t="shared" si="764"/>
        <v>0</v>
      </c>
      <c r="W783" s="41">
        <f t="shared" si="765"/>
        <v>0</v>
      </c>
      <c r="X783" s="41">
        <f t="shared" si="766"/>
        <v>0</v>
      </c>
      <c r="Y783" s="41">
        <f t="shared" si="767"/>
        <v>0</v>
      </c>
      <c r="Z783" s="41">
        <f t="shared" si="768"/>
        <v>0</v>
      </c>
      <c r="AA783" s="41">
        <f t="shared" si="769"/>
        <v>0</v>
      </c>
      <c r="AB783" s="41">
        <f t="shared" si="770"/>
        <v>0</v>
      </c>
      <c r="AC783" s="41">
        <f t="shared" si="771"/>
        <v>0</v>
      </c>
      <c r="AD783" s="31"/>
      <c r="AE783" s="21">
        <f t="shared" si="772"/>
        <v>0</v>
      </c>
      <c r="AF783" s="21">
        <f t="shared" si="773"/>
        <v>0</v>
      </c>
      <c r="AG783" s="21">
        <f t="shared" si="774"/>
        <v>0</v>
      </c>
      <c r="AI783" s="41">
        <v>21</v>
      </c>
      <c r="AJ783" s="41">
        <f t="shared" si="775"/>
        <v>0</v>
      </c>
      <c r="AK783" s="41">
        <f t="shared" si="776"/>
        <v>0</v>
      </c>
      <c r="AL783" s="42" t="s">
        <v>8</v>
      </c>
      <c r="AQ783" s="41">
        <f t="shared" si="777"/>
        <v>0</v>
      </c>
      <c r="AR783" s="41">
        <f t="shared" si="778"/>
        <v>0</v>
      </c>
      <c r="AS783" s="41">
        <f t="shared" si="779"/>
        <v>0</v>
      </c>
      <c r="AT783" s="44" t="s">
        <v>2470</v>
      </c>
      <c r="AU783" s="44" t="s">
        <v>2485</v>
      </c>
      <c r="AV783" s="31" t="s">
        <v>2486</v>
      </c>
      <c r="AX783" s="41">
        <f t="shared" si="780"/>
        <v>0</v>
      </c>
      <c r="AY783" s="41">
        <f t="shared" si="781"/>
        <v>0</v>
      </c>
      <c r="AZ783" s="41">
        <v>0</v>
      </c>
      <c r="BA783" s="41">
        <f t="shared" si="782"/>
        <v>0</v>
      </c>
      <c r="BC783" s="21">
        <f t="shared" si="783"/>
        <v>0</v>
      </c>
      <c r="BD783" s="21">
        <f t="shared" si="784"/>
        <v>0</v>
      </c>
      <c r="BE783" s="21">
        <f t="shared" si="785"/>
        <v>0</v>
      </c>
      <c r="BF783" s="21" t="s">
        <v>2492</v>
      </c>
      <c r="BG783" s="41" t="s">
        <v>1343</v>
      </c>
    </row>
    <row r="784" spans="1:59" x14ac:dyDescent="0.3">
      <c r="A784" s="4" t="s">
        <v>745</v>
      </c>
      <c r="B784" s="13"/>
      <c r="C784" s="13" t="s">
        <v>1362</v>
      </c>
      <c r="D784" s="101" t="s">
        <v>2161</v>
      </c>
      <c r="E784" s="102"/>
      <c r="F784" s="13" t="s">
        <v>2385</v>
      </c>
      <c r="G784" s="21">
        <v>2480</v>
      </c>
      <c r="H784" s="21">
        <v>0</v>
      </c>
      <c r="I784" s="21">
        <f t="shared" si="760"/>
        <v>0</v>
      </c>
      <c r="J784" s="21">
        <f t="shared" si="761"/>
        <v>0</v>
      </c>
      <c r="K784" s="21">
        <f t="shared" si="762"/>
        <v>0</v>
      </c>
      <c r="L784" s="21">
        <v>0</v>
      </c>
      <c r="M784" s="21">
        <f t="shared" si="763"/>
        <v>0</v>
      </c>
      <c r="N784" s="35"/>
      <c r="O784" s="39"/>
      <c r="U784" s="41">
        <f t="shared" si="764"/>
        <v>0</v>
      </c>
      <c r="W784" s="41">
        <f t="shared" si="765"/>
        <v>0</v>
      </c>
      <c r="X784" s="41">
        <f t="shared" si="766"/>
        <v>0</v>
      </c>
      <c r="Y784" s="41">
        <f t="shared" si="767"/>
        <v>0</v>
      </c>
      <c r="Z784" s="41">
        <f t="shared" si="768"/>
        <v>0</v>
      </c>
      <c r="AA784" s="41">
        <f t="shared" si="769"/>
        <v>0</v>
      </c>
      <c r="AB784" s="41">
        <f t="shared" si="770"/>
        <v>0</v>
      </c>
      <c r="AC784" s="41">
        <f t="shared" si="771"/>
        <v>0</v>
      </c>
      <c r="AD784" s="31"/>
      <c r="AE784" s="21">
        <f t="shared" si="772"/>
        <v>0</v>
      </c>
      <c r="AF784" s="21">
        <f t="shared" si="773"/>
        <v>0</v>
      </c>
      <c r="AG784" s="21">
        <f t="shared" si="774"/>
        <v>0</v>
      </c>
      <c r="AI784" s="41">
        <v>21</v>
      </c>
      <c r="AJ784" s="41">
        <f t="shared" si="775"/>
        <v>0</v>
      </c>
      <c r="AK784" s="41">
        <f t="shared" si="776"/>
        <v>0</v>
      </c>
      <c r="AL784" s="42" t="s">
        <v>8</v>
      </c>
      <c r="AQ784" s="41">
        <f t="shared" si="777"/>
        <v>0</v>
      </c>
      <c r="AR784" s="41">
        <f t="shared" si="778"/>
        <v>0</v>
      </c>
      <c r="AS784" s="41">
        <f t="shared" si="779"/>
        <v>0</v>
      </c>
      <c r="AT784" s="44" t="s">
        <v>2470</v>
      </c>
      <c r="AU784" s="44" t="s">
        <v>2485</v>
      </c>
      <c r="AV784" s="31" t="s">
        <v>2486</v>
      </c>
      <c r="AX784" s="41">
        <f t="shared" si="780"/>
        <v>0</v>
      </c>
      <c r="AY784" s="41">
        <f t="shared" si="781"/>
        <v>0</v>
      </c>
      <c r="AZ784" s="41">
        <v>0</v>
      </c>
      <c r="BA784" s="41">
        <f t="shared" si="782"/>
        <v>0</v>
      </c>
      <c r="BC784" s="21">
        <f t="shared" si="783"/>
        <v>0</v>
      </c>
      <c r="BD784" s="21">
        <f t="shared" si="784"/>
        <v>0</v>
      </c>
      <c r="BE784" s="21">
        <f t="shared" si="785"/>
        <v>0</v>
      </c>
      <c r="BF784" s="21" t="s">
        <v>2492</v>
      </c>
      <c r="BG784" s="41" t="s">
        <v>1343</v>
      </c>
    </row>
    <row r="785" spans="1:59" x14ac:dyDescent="0.3">
      <c r="A785" s="4" t="s">
        <v>746</v>
      </c>
      <c r="B785" s="13"/>
      <c r="C785" s="13" t="s">
        <v>1363</v>
      </c>
      <c r="D785" s="101" t="s">
        <v>2162</v>
      </c>
      <c r="E785" s="102"/>
      <c r="F785" s="13" t="s">
        <v>2385</v>
      </c>
      <c r="G785" s="21">
        <v>644</v>
      </c>
      <c r="H785" s="21">
        <v>0</v>
      </c>
      <c r="I785" s="21">
        <f t="shared" si="760"/>
        <v>0</v>
      </c>
      <c r="J785" s="21">
        <f t="shared" si="761"/>
        <v>0</v>
      </c>
      <c r="K785" s="21">
        <f t="shared" si="762"/>
        <v>0</v>
      </c>
      <c r="L785" s="21">
        <v>0</v>
      </c>
      <c r="M785" s="21">
        <f t="shared" si="763"/>
        <v>0</v>
      </c>
      <c r="N785" s="35"/>
      <c r="O785" s="39"/>
      <c r="U785" s="41">
        <f t="shared" si="764"/>
        <v>0</v>
      </c>
      <c r="W785" s="41">
        <f t="shared" si="765"/>
        <v>0</v>
      </c>
      <c r="X785" s="41">
        <f t="shared" si="766"/>
        <v>0</v>
      </c>
      <c r="Y785" s="41">
        <f t="shared" si="767"/>
        <v>0</v>
      </c>
      <c r="Z785" s="41">
        <f t="shared" si="768"/>
        <v>0</v>
      </c>
      <c r="AA785" s="41">
        <f t="shared" si="769"/>
        <v>0</v>
      </c>
      <c r="AB785" s="41">
        <f t="shared" si="770"/>
        <v>0</v>
      </c>
      <c r="AC785" s="41">
        <f t="shared" si="771"/>
        <v>0</v>
      </c>
      <c r="AD785" s="31"/>
      <c r="AE785" s="21">
        <f t="shared" si="772"/>
        <v>0</v>
      </c>
      <c r="AF785" s="21">
        <f t="shared" si="773"/>
        <v>0</v>
      </c>
      <c r="AG785" s="21">
        <f t="shared" si="774"/>
        <v>0</v>
      </c>
      <c r="AI785" s="41">
        <v>21</v>
      </c>
      <c r="AJ785" s="41">
        <f t="shared" si="775"/>
        <v>0</v>
      </c>
      <c r="AK785" s="41">
        <f t="shared" si="776"/>
        <v>0</v>
      </c>
      <c r="AL785" s="42" t="s">
        <v>8</v>
      </c>
      <c r="AQ785" s="41">
        <f t="shared" si="777"/>
        <v>0</v>
      </c>
      <c r="AR785" s="41">
        <f t="shared" si="778"/>
        <v>0</v>
      </c>
      <c r="AS785" s="41">
        <f t="shared" si="779"/>
        <v>0</v>
      </c>
      <c r="AT785" s="44" t="s">
        <v>2470</v>
      </c>
      <c r="AU785" s="44" t="s">
        <v>2485</v>
      </c>
      <c r="AV785" s="31" t="s">
        <v>2486</v>
      </c>
      <c r="AX785" s="41">
        <f t="shared" si="780"/>
        <v>0</v>
      </c>
      <c r="AY785" s="41">
        <f t="shared" si="781"/>
        <v>0</v>
      </c>
      <c r="AZ785" s="41">
        <v>0</v>
      </c>
      <c r="BA785" s="41">
        <f t="shared" si="782"/>
        <v>0</v>
      </c>
      <c r="BC785" s="21">
        <f t="shared" si="783"/>
        <v>0</v>
      </c>
      <c r="BD785" s="21">
        <f t="shared" si="784"/>
        <v>0</v>
      </c>
      <c r="BE785" s="21">
        <f t="shared" si="785"/>
        <v>0</v>
      </c>
      <c r="BF785" s="21" t="s">
        <v>2492</v>
      </c>
      <c r="BG785" s="41" t="s">
        <v>1343</v>
      </c>
    </row>
    <row r="786" spans="1:59" x14ac:dyDescent="0.3">
      <c r="A786" s="4" t="s">
        <v>747</v>
      </c>
      <c r="B786" s="13"/>
      <c r="C786" s="13" t="s">
        <v>1364</v>
      </c>
      <c r="D786" s="101" t="s">
        <v>2163</v>
      </c>
      <c r="E786" s="102"/>
      <c r="F786" s="13" t="s">
        <v>2385</v>
      </c>
      <c r="G786" s="21">
        <v>4457</v>
      </c>
      <c r="H786" s="21">
        <v>0</v>
      </c>
      <c r="I786" s="21">
        <f t="shared" si="760"/>
        <v>0</v>
      </c>
      <c r="J786" s="21">
        <f t="shared" si="761"/>
        <v>0</v>
      </c>
      <c r="K786" s="21">
        <f t="shared" si="762"/>
        <v>0</v>
      </c>
      <c r="L786" s="21">
        <v>0</v>
      </c>
      <c r="M786" s="21">
        <f t="shared" si="763"/>
        <v>0</v>
      </c>
      <c r="N786" s="35"/>
      <c r="O786" s="39"/>
      <c r="U786" s="41">
        <f t="shared" si="764"/>
        <v>0</v>
      </c>
      <c r="W786" s="41">
        <f t="shared" si="765"/>
        <v>0</v>
      </c>
      <c r="X786" s="41">
        <f t="shared" si="766"/>
        <v>0</v>
      </c>
      <c r="Y786" s="41">
        <f t="shared" si="767"/>
        <v>0</v>
      </c>
      <c r="Z786" s="41">
        <f t="shared" si="768"/>
        <v>0</v>
      </c>
      <c r="AA786" s="41">
        <f t="shared" si="769"/>
        <v>0</v>
      </c>
      <c r="AB786" s="41">
        <f t="shared" si="770"/>
        <v>0</v>
      </c>
      <c r="AC786" s="41">
        <f t="shared" si="771"/>
        <v>0</v>
      </c>
      <c r="AD786" s="31"/>
      <c r="AE786" s="21">
        <f t="shared" si="772"/>
        <v>0</v>
      </c>
      <c r="AF786" s="21">
        <f t="shared" si="773"/>
        <v>0</v>
      </c>
      <c r="AG786" s="21">
        <f t="shared" si="774"/>
        <v>0</v>
      </c>
      <c r="AI786" s="41">
        <v>21</v>
      </c>
      <c r="AJ786" s="41">
        <f t="shared" si="775"/>
        <v>0</v>
      </c>
      <c r="AK786" s="41">
        <f t="shared" si="776"/>
        <v>0</v>
      </c>
      <c r="AL786" s="42" t="s">
        <v>8</v>
      </c>
      <c r="AQ786" s="41">
        <f t="shared" si="777"/>
        <v>0</v>
      </c>
      <c r="AR786" s="41">
        <f t="shared" si="778"/>
        <v>0</v>
      </c>
      <c r="AS786" s="41">
        <f t="shared" si="779"/>
        <v>0</v>
      </c>
      <c r="AT786" s="44" t="s">
        <v>2470</v>
      </c>
      <c r="AU786" s="44" t="s">
        <v>2485</v>
      </c>
      <c r="AV786" s="31" t="s">
        <v>2486</v>
      </c>
      <c r="AX786" s="41">
        <f t="shared" si="780"/>
        <v>0</v>
      </c>
      <c r="AY786" s="41">
        <f t="shared" si="781"/>
        <v>0</v>
      </c>
      <c r="AZ786" s="41">
        <v>0</v>
      </c>
      <c r="BA786" s="41">
        <f t="shared" si="782"/>
        <v>0</v>
      </c>
      <c r="BC786" s="21">
        <f t="shared" si="783"/>
        <v>0</v>
      </c>
      <c r="BD786" s="21">
        <f t="shared" si="784"/>
        <v>0</v>
      </c>
      <c r="BE786" s="21">
        <f t="shared" si="785"/>
        <v>0</v>
      </c>
      <c r="BF786" s="21" t="s">
        <v>2492</v>
      </c>
      <c r="BG786" s="41" t="s">
        <v>1343</v>
      </c>
    </row>
    <row r="787" spans="1:59" x14ac:dyDescent="0.3">
      <c r="A787" s="4" t="s">
        <v>748</v>
      </c>
      <c r="B787" s="13"/>
      <c r="C787" s="13" t="s">
        <v>1365</v>
      </c>
      <c r="D787" s="101" t="s">
        <v>2164</v>
      </c>
      <c r="E787" s="102"/>
      <c r="F787" s="13" t="s">
        <v>2385</v>
      </c>
      <c r="G787" s="21">
        <v>852</v>
      </c>
      <c r="H787" s="21">
        <v>0</v>
      </c>
      <c r="I787" s="21">
        <f t="shared" si="760"/>
        <v>0</v>
      </c>
      <c r="J787" s="21">
        <f t="shared" si="761"/>
        <v>0</v>
      </c>
      <c r="K787" s="21">
        <f t="shared" si="762"/>
        <v>0</v>
      </c>
      <c r="L787" s="21">
        <v>0</v>
      </c>
      <c r="M787" s="21">
        <f t="shared" si="763"/>
        <v>0</v>
      </c>
      <c r="N787" s="35"/>
      <c r="O787" s="39"/>
      <c r="U787" s="41">
        <f t="shared" si="764"/>
        <v>0</v>
      </c>
      <c r="W787" s="41">
        <f t="shared" si="765"/>
        <v>0</v>
      </c>
      <c r="X787" s="41">
        <f t="shared" si="766"/>
        <v>0</v>
      </c>
      <c r="Y787" s="41">
        <f t="shared" si="767"/>
        <v>0</v>
      </c>
      <c r="Z787" s="41">
        <f t="shared" si="768"/>
        <v>0</v>
      </c>
      <c r="AA787" s="41">
        <f t="shared" si="769"/>
        <v>0</v>
      </c>
      <c r="AB787" s="41">
        <f t="shared" si="770"/>
        <v>0</v>
      </c>
      <c r="AC787" s="41">
        <f t="shared" si="771"/>
        <v>0</v>
      </c>
      <c r="AD787" s="31"/>
      <c r="AE787" s="21">
        <f t="shared" si="772"/>
        <v>0</v>
      </c>
      <c r="AF787" s="21">
        <f t="shared" si="773"/>
        <v>0</v>
      </c>
      <c r="AG787" s="21">
        <f t="shared" si="774"/>
        <v>0</v>
      </c>
      <c r="AI787" s="41">
        <v>21</v>
      </c>
      <c r="AJ787" s="41">
        <f t="shared" si="775"/>
        <v>0</v>
      </c>
      <c r="AK787" s="41">
        <f t="shared" si="776"/>
        <v>0</v>
      </c>
      <c r="AL787" s="42" t="s">
        <v>8</v>
      </c>
      <c r="AQ787" s="41">
        <f t="shared" si="777"/>
        <v>0</v>
      </c>
      <c r="AR787" s="41">
        <f t="shared" si="778"/>
        <v>0</v>
      </c>
      <c r="AS787" s="41">
        <f t="shared" si="779"/>
        <v>0</v>
      </c>
      <c r="AT787" s="44" t="s">
        <v>2470</v>
      </c>
      <c r="AU787" s="44" t="s">
        <v>2485</v>
      </c>
      <c r="AV787" s="31" t="s">
        <v>2486</v>
      </c>
      <c r="AX787" s="41">
        <f t="shared" si="780"/>
        <v>0</v>
      </c>
      <c r="AY787" s="41">
        <f t="shared" si="781"/>
        <v>0</v>
      </c>
      <c r="AZ787" s="41">
        <v>0</v>
      </c>
      <c r="BA787" s="41">
        <f t="shared" si="782"/>
        <v>0</v>
      </c>
      <c r="BC787" s="21">
        <f t="shared" si="783"/>
        <v>0</v>
      </c>
      <c r="BD787" s="21">
        <f t="shared" si="784"/>
        <v>0</v>
      </c>
      <c r="BE787" s="21">
        <f t="shared" si="785"/>
        <v>0</v>
      </c>
      <c r="BF787" s="21" t="s">
        <v>2492</v>
      </c>
      <c r="BG787" s="41" t="s">
        <v>1343</v>
      </c>
    </row>
    <row r="788" spans="1:59" x14ac:dyDescent="0.3">
      <c r="A788" s="4" t="s">
        <v>749</v>
      </c>
      <c r="B788" s="13"/>
      <c r="C788" s="13" t="s">
        <v>1366</v>
      </c>
      <c r="D788" s="101" t="s">
        <v>2165</v>
      </c>
      <c r="E788" s="102"/>
      <c r="F788" s="13" t="s">
        <v>2385</v>
      </c>
      <c r="G788" s="21">
        <v>990</v>
      </c>
      <c r="H788" s="21">
        <v>0</v>
      </c>
      <c r="I788" s="21">
        <f t="shared" si="760"/>
        <v>0</v>
      </c>
      <c r="J788" s="21">
        <f t="shared" si="761"/>
        <v>0</v>
      </c>
      <c r="K788" s="21">
        <f t="shared" si="762"/>
        <v>0</v>
      </c>
      <c r="L788" s="21">
        <v>0</v>
      </c>
      <c r="M788" s="21">
        <f t="shared" si="763"/>
        <v>0</v>
      </c>
      <c r="N788" s="35"/>
      <c r="O788" s="39"/>
      <c r="U788" s="41">
        <f t="shared" si="764"/>
        <v>0</v>
      </c>
      <c r="W788" s="41">
        <f t="shared" si="765"/>
        <v>0</v>
      </c>
      <c r="X788" s="41">
        <f t="shared" si="766"/>
        <v>0</v>
      </c>
      <c r="Y788" s="41">
        <f t="shared" si="767"/>
        <v>0</v>
      </c>
      <c r="Z788" s="41">
        <f t="shared" si="768"/>
        <v>0</v>
      </c>
      <c r="AA788" s="41">
        <f t="shared" si="769"/>
        <v>0</v>
      </c>
      <c r="AB788" s="41">
        <f t="shared" si="770"/>
        <v>0</v>
      </c>
      <c r="AC788" s="41">
        <f t="shared" si="771"/>
        <v>0</v>
      </c>
      <c r="AD788" s="31"/>
      <c r="AE788" s="21">
        <f t="shared" si="772"/>
        <v>0</v>
      </c>
      <c r="AF788" s="21">
        <f t="shared" si="773"/>
        <v>0</v>
      </c>
      <c r="AG788" s="21">
        <f t="shared" si="774"/>
        <v>0</v>
      </c>
      <c r="AI788" s="41">
        <v>21</v>
      </c>
      <c r="AJ788" s="41">
        <f t="shared" si="775"/>
        <v>0</v>
      </c>
      <c r="AK788" s="41">
        <f t="shared" si="776"/>
        <v>0</v>
      </c>
      <c r="AL788" s="42" t="s">
        <v>8</v>
      </c>
      <c r="AQ788" s="41">
        <f t="shared" si="777"/>
        <v>0</v>
      </c>
      <c r="AR788" s="41">
        <f t="shared" si="778"/>
        <v>0</v>
      </c>
      <c r="AS788" s="41">
        <f t="shared" si="779"/>
        <v>0</v>
      </c>
      <c r="AT788" s="44" t="s">
        <v>2470</v>
      </c>
      <c r="AU788" s="44" t="s">
        <v>2485</v>
      </c>
      <c r="AV788" s="31" t="s">
        <v>2486</v>
      </c>
      <c r="AX788" s="41">
        <f t="shared" si="780"/>
        <v>0</v>
      </c>
      <c r="AY788" s="41">
        <f t="shared" si="781"/>
        <v>0</v>
      </c>
      <c r="AZ788" s="41">
        <v>0</v>
      </c>
      <c r="BA788" s="41">
        <f t="shared" si="782"/>
        <v>0</v>
      </c>
      <c r="BC788" s="21">
        <f t="shared" si="783"/>
        <v>0</v>
      </c>
      <c r="BD788" s="21">
        <f t="shared" si="784"/>
        <v>0</v>
      </c>
      <c r="BE788" s="21">
        <f t="shared" si="785"/>
        <v>0</v>
      </c>
      <c r="BF788" s="21" t="s">
        <v>2492</v>
      </c>
      <c r="BG788" s="41" t="s">
        <v>1343</v>
      </c>
    </row>
    <row r="789" spans="1:59" x14ac:dyDescent="0.3">
      <c r="A789" s="4" t="s">
        <v>750</v>
      </c>
      <c r="B789" s="13"/>
      <c r="C789" s="13" t="s">
        <v>1367</v>
      </c>
      <c r="D789" s="101" t="s">
        <v>2166</v>
      </c>
      <c r="E789" s="102"/>
      <c r="F789" s="13" t="s">
        <v>2385</v>
      </c>
      <c r="G789" s="21">
        <v>468</v>
      </c>
      <c r="H789" s="21">
        <v>0</v>
      </c>
      <c r="I789" s="21">
        <f t="shared" si="760"/>
        <v>0</v>
      </c>
      <c r="J789" s="21">
        <f t="shared" si="761"/>
        <v>0</v>
      </c>
      <c r="K789" s="21">
        <f t="shared" si="762"/>
        <v>0</v>
      </c>
      <c r="L789" s="21">
        <v>0</v>
      </c>
      <c r="M789" s="21">
        <f t="shared" si="763"/>
        <v>0</v>
      </c>
      <c r="N789" s="35"/>
      <c r="O789" s="39"/>
      <c r="U789" s="41">
        <f t="shared" si="764"/>
        <v>0</v>
      </c>
      <c r="W789" s="41">
        <f t="shared" si="765"/>
        <v>0</v>
      </c>
      <c r="X789" s="41">
        <f t="shared" si="766"/>
        <v>0</v>
      </c>
      <c r="Y789" s="41">
        <f t="shared" si="767"/>
        <v>0</v>
      </c>
      <c r="Z789" s="41">
        <f t="shared" si="768"/>
        <v>0</v>
      </c>
      <c r="AA789" s="41">
        <f t="shared" si="769"/>
        <v>0</v>
      </c>
      <c r="AB789" s="41">
        <f t="shared" si="770"/>
        <v>0</v>
      </c>
      <c r="AC789" s="41">
        <f t="shared" si="771"/>
        <v>0</v>
      </c>
      <c r="AD789" s="31"/>
      <c r="AE789" s="21">
        <f t="shared" si="772"/>
        <v>0</v>
      </c>
      <c r="AF789" s="21">
        <f t="shared" si="773"/>
        <v>0</v>
      </c>
      <c r="AG789" s="21">
        <f t="shared" si="774"/>
        <v>0</v>
      </c>
      <c r="AI789" s="41">
        <v>21</v>
      </c>
      <c r="AJ789" s="41">
        <f t="shared" si="775"/>
        <v>0</v>
      </c>
      <c r="AK789" s="41">
        <f t="shared" si="776"/>
        <v>0</v>
      </c>
      <c r="AL789" s="42" t="s">
        <v>8</v>
      </c>
      <c r="AQ789" s="41">
        <f t="shared" si="777"/>
        <v>0</v>
      </c>
      <c r="AR789" s="41">
        <f t="shared" si="778"/>
        <v>0</v>
      </c>
      <c r="AS789" s="41">
        <f t="shared" si="779"/>
        <v>0</v>
      </c>
      <c r="AT789" s="44" t="s">
        <v>2470</v>
      </c>
      <c r="AU789" s="44" t="s">
        <v>2485</v>
      </c>
      <c r="AV789" s="31" t="s">
        <v>2486</v>
      </c>
      <c r="AX789" s="41">
        <f t="shared" si="780"/>
        <v>0</v>
      </c>
      <c r="AY789" s="41">
        <f t="shared" si="781"/>
        <v>0</v>
      </c>
      <c r="AZ789" s="41">
        <v>0</v>
      </c>
      <c r="BA789" s="41">
        <f t="shared" si="782"/>
        <v>0</v>
      </c>
      <c r="BC789" s="21">
        <f t="shared" si="783"/>
        <v>0</v>
      </c>
      <c r="BD789" s="21">
        <f t="shared" si="784"/>
        <v>0</v>
      </c>
      <c r="BE789" s="21">
        <f t="shared" si="785"/>
        <v>0</v>
      </c>
      <c r="BF789" s="21" t="s">
        <v>2492</v>
      </c>
      <c r="BG789" s="41" t="s">
        <v>1343</v>
      </c>
    </row>
    <row r="790" spans="1:59" x14ac:dyDescent="0.3">
      <c r="A790" s="4" t="s">
        <v>751</v>
      </c>
      <c r="B790" s="13"/>
      <c r="C790" s="13" t="s">
        <v>1368</v>
      </c>
      <c r="D790" s="101" t="s">
        <v>2167</v>
      </c>
      <c r="E790" s="102"/>
      <c r="F790" s="13" t="s">
        <v>2385</v>
      </c>
      <c r="G790" s="21">
        <v>652</v>
      </c>
      <c r="H790" s="21">
        <v>0</v>
      </c>
      <c r="I790" s="21">
        <f t="shared" si="760"/>
        <v>0</v>
      </c>
      <c r="J790" s="21">
        <f t="shared" si="761"/>
        <v>0</v>
      </c>
      <c r="K790" s="21">
        <f t="shared" si="762"/>
        <v>0</v>
      </c>
      <c r="L790" s="21">
        <v>0</v>
      </c>
      <c r="M790" s="21">
        <f t="shared" si="763"/>
        <v>0</v>
      </c>
      <c r="N790" s="35"/>
      <c r="O790" s="39"/>
      <c r="U790" s="41">
        <f t="shared" si="764"/>
        <v>0</v>
      </c>
      <c r="W790" s="41">
        <f t="shared" si="765"/>
        <v>0</v>
      </c>
      <c r="X790" s="41">
        <f t="shared" si="766"/>
        <v>0</v>
      </c>
      <c r="Y790" s="41">
        <f t="shared" si="767"/>
        <v>0</v>
      </c>
      <c r="Z790" s="41">
        <f t="shared" si="768"/>
        <v>0</v>
      </c>
      <c r="AA790" s="41">
        <f t="shared" si="769"/>
        <v>0</v>
      </c>
      <c r="AB790" s="41">
        <f t="shared" si="770"/>
        <v>0</v>
      </c>
      <c r="AC790" s="41">
        <f t="shared" si="771"/>
        <v>0</v>
      </c>
      <c r="AD790" s="31"/>
      <c r="AE790" s="21">
        <f t="shared" si="772"/>
        <v>0</v>
      </c>
      <c r="AF790" s="21">
        <f t="shared" si="773"/>
        <v>0</v>
      </c>
      <c r="AG790" s="21">
        <f t="shared" si="774"/>
        <v>0</v>
      </c>
      <c r="AI790" s="41">
        <v>21</v>
      </c>
      <c r="AJ790" s="41">
        <f t="shared" si="775"/>
        <v>0</v>
      </c>
      <c r="AK790" s="41">
        <f t="shared" si="776"/>
        <v>0</v>
      </c>
      <c r="AL790" s="42" t="s">
        <v>8</v>
      </c>
      <c r="AQ790" s="41">
        <f t="shared" si="777"/>
        <v>0</v>
      </c>
      <c r="AR790" s="41">
        <f t="shared" si="778"/>
        <v>0</v>
      </c>
      <c r="AS790" s="41">
        <f t="shared" si="779"/>
        <v>0</v>
      </c>
      <c r="AT790" s="44" t="s">
        <v>2470</v>
      </c>
      <c r="AU790" s="44" t="s">
        <v>2485</v>
      </c>
      <c r="AV790" s="31" t="s">
        <v>2486</v>
      </c>
      <c r="AX790" s="41">
        <f t="shared" si="780"/>
        <v>0</v>
      </c>
      <c r="AY790" s="41">
        <f t="shared" si="781"/>
        <v>0</v>
      </c>
      <c r="AZ790" s="41">
        <v>0</v>
      </c>
      <c r="BA790" s="41">
        <f t="shared" si="782"/>
        <v>0</v>
      </c>
      <c r="BC790" s="21">
        <f t="shared" si="783"/>
        <v>0</v>
      </c>
      <c r="BD790" s="21">
        <f t="shared" si="784"/>
        <v>0</v>
      </c>
      <c r="BE790" s="21">
        <f t="shared" si="785"/>
        <v>0</v>
      </c>
      <c r="BF790" s="21" t="s">
        <v>2492</v>
      </c>
      <c r="BG790" s="41" t="s">
        <v>1343</v>
      </c>
    </row>
    <row r="791" spans="1:59" x14ac:dyDescent="0.3">
      <c r="A791" s="4" t="s">
        <v>752</v>
      </c>
      <c r="B791" s="13"/>
      <c r="C791" s="13" t="s">
        <v>1369</v>
      </c>
      <c r="D791" s="101" t="s">
        <v>2168</v>
      </c>
      <c r="E791" s="102"/>
      <c r="F791" s="13" t="s">
        <v>2385</v>
      </c>
      <c r="G791" s="21">
        <v>162</v>
      </c>
      <c r="H791" s="21">
        <v>0</v>
      </c>
      <c r="I791" s="21">
        <f t="shared" si="760"/>
        <v>0</v>
      </c>
      <c r="J791" s="21">
        <f t="shared" si="761"/>
        <v>0</v>
      </c>
      <c r="K791" s="21">
        <f t="shared" si="762"/>
        <v>0</v>
      </c>
      <c r="L791" s="21">
        <v>0</v>
      </c>
      <c r="M791" s="21">
        <f t="shared" si="763"/>
        <v>0</v>
      </c>
      <c r="N791" s="35"/>
      <c r="O791" s="39"/>
      <c r="U791" s="41">
        <f t="shared" si="764"/>
        <v>0</v>
      </c>
      <c r="W791" s="41">
        <f t="shared" si="765"/>
        <v>0</v>
      </c>
      <c r="X791" s="41">
        <f t="shared" si="766"/>
        <v>0</v>
      </c>
      <c r="Y791" s="41">
        <f t="shared" si="767"/>
        <v>0</v>
      </c>
      <c r="Z791" s="41">
        <f t="shared" si="768"/>
        <v>0</v>
      </c>
      <c r="AA791" s="41">
        <f t="shared" si="769"/>
        <v>0</v>
      </c>
      <c r="AB791" s="41">
        <f t="shared" si="770"/>
        <v>0</v>
      </c>
      <c r="AC791" s="41">
        <f t="shared" si="771"/>
        <v>0</v>
      </c>
      <c r="AD791" s="31"/>
      <c r="AE791" s="21">
        <f t="shared" si="772"/>
        <v>0</v>
      </c>
      <c r="AF791" s="21">
        <f t="shared" si="773"/>
        <v>0</v>
      </c>
      <c r="AG791" s="21">
        <f t="shared" si="774"/>
        <v>0</v>
      </c>
      <c r="AI791" s="41">
        <v>21</v>
      </c>
      <c r="AJ791" s="41">
        <f t="shared" si="775"/>
        <v>0</v>
      </c>
      <c r="AK791" s="41">
        <f t="shared" si="776"/>
        <v>0</v>
      </c>
      <c r="AL791" s="42" t="s">
        <v>8</v>
      </c>
      <c r="AQ791" s="41">
        <f t="shared" si="777"/>
        <v>0</v>
      </c>
      <c r="AR791" s="41">
        <f t="shared" si="778"/>
        <v>0</v>
      </c>
      <c r="AS791" s="41">
        <f t="shared" si="779"/>
        <v>0</v>
      </c>
      <c r="AT791" s="44" t="s">
        <v>2470</v>
      </c>
      <c r="AU791" s="44" t="s">
        <v>2485</v>
      </c>
      <c r="AV791" s="31" t="s">
        <v>2486</v>
      </c>
      <c r="AX791" s="41">
        <f t="shared" si="780"/>
        <v>0</v>
      </c>
      <c r="AY791" s="41">
        <f t="shared" si="781"/>
        <v>0</v>
      </c>
      <c r="AZ791" s="41">
        <v>0</v>
      </c>
      <c r="BA791" s="41">
        <f t="shared" si="782"/>
        <v>0</v>
      </c>
      <c r="BC791" s="21">
        <f t="shared" si="783"/>
        <v>0</v>
      </c>
      <c r="BD791" s="21">
        <f t="shared" si="784"/>
        <v>0</v>
      </c>
      <c r="BE791" s="21">
        <f t="shared" si="785"/>
        <v>0</v>
      </c>
      <c r="BF791" s="21" t="s">
        <v>2492</v>
      </c>
      <c r="BG791" s="41" t="s">
        <v>1343</v>
      </c>
    </row>
    <row r="792" spans="1:59" x14ac:dyDescent="0.3">
      <c r="A792" s="4" t="s">
        <v>753</v>
      </c>
      <c r="B792" s="13"/>
      <c r="C792" s="13" t="s">
        <v>1370</v>
      </c>
      <c r="D792" s="101" t="s">
        <v>2169</v>
      </c>
      <c r="E792" s="102"/>
      <c r="F792" s="13" t="s">
        <v>2385</v>
      </c>
      <c r="G792" s="21">
        <v>160</v>
      </c>
      <c r="H792" s="21">
        <v>0</v>
      </c>
      <c r="I792" s="21">
        <f t="shared" si="760"/>
        <v>0</v>
      </c>
      <c r="J792" s="21">
        <f t="shared" si="761"/>
        <v>0</v>
      </c>
      <c r="K792" s="21">
        <f t="shared" si="762"/>
        <v>0</v>
      </c>
      <c r="L792" s="21">
        <v>0</v>
      </c>
      <c r="M792" s="21">
        <f t="shared" si="763"/>
        <v>0</v>
      </c>
      <c r="N792" s="35"/>
      <c r="O792" s="39"/>
      <c r="U792" s="41">
        <f t="shared" si="764"/>
        <v>0</v>
      </c>
      <c r="W792" s="41">
        <f t="shared" si="765"/>
        <v>0</v>
      </c>
      <c r="X792" s="41">
        <f t="shared" si="766"/>
        <v>0</v>
      </c>
      <c r="Y792" s="41">
        <f t="shared" si="767"/>
        <v>0</v>
      </c>
      <c r="Z792" s="41">
        <f t="shared" si="768"/>
        <v>0</v>
      </c>
      <c r="AA792" s="41">
        <f t="shared" si="769"/>
        <v>0</v>
      </c>
      <c r="AB792" s="41">
        <f t="shared" si="770"/>
        <v>0</v>
      </c>
      <c r="AC792" s="41">
        <f t="shared" si="771"/>
        <v>0</v>
      </c>
      <c r="AD792" s="31"/>
      <c r="AE792" s="21">
        <f t="shared" si="772"/>
        <v>0</v>
      </c>
      <c r="AF792" s="21">
        <f t="shared" si="773"/>
        <v>0</v>
      </c>
      <c r="AG792" s="21">
        <f t="shared" si="774"/>
        <v>0</v>
      </c>
      <c r="AI792" s="41">
        <v>21</v>
      </c>
      <c r="AJ792" s="41">
        <f t="shared" si="775"/>
        <v>0</v>
      </c>
      <c r="AK792" s="41">
        <f t="shared" si="776"/>
        <v>0</v>
      </c>
      <c r="AL792" s="42" t="s">
        <v>8</v>
      </c>
      <c r="AQ792" s="41">
        <f t="shared" si="777"/>
        <v>0</v>
      </c>
      <c r="AR792" s="41">
        <f t="shared" si="778"/>
        <v>0</v>
      </c>
      <c r="AS792" s="41">
        <f t="shared" si="779"/>
        <v>0</v>
      </c>
      <c r="AT792" s="44" t="s">
        <v>2470</v>
      </c>
      <c r="AU792" s="44" t="s">
        <v>2485</v>
      </c>
      <c r="AV792" s="31" t="s">
        <v>2486</v>
      </c>
      <c r="AX792" s="41">
        <f t="shared" si="780"/>
        <v>0</v>
      </c>
      <c r="AY792" s="41">
        <f t="shared" si="781"/>
        <v>0</v>
      </c>
      <c r="AZ792" s="41">
        <v>0</v>
      </c>
      <c r="BA792" s="41">
        <f t="shared" si="782"/>
        <v>0</v>
      </c>
      <c r="BC792" s="21">
        <f t="shared" si="783"/>
        <v>0</v>
      </c>
      <c r="BD792" s="21">
        <f t="shared" si="784"/>
        <v>0</v>
      </c>
      <c r="BE792" s="21">
        <f t="shared" si="785"/>
        <v>0</v>
      </c>
      <c r="BF792" s="21" t="s">
        <v>2492</v>
      </c>
      <c r="BG792" s="41" t="s">
        <v>1343</v>
      </c>
    </row>
    <row r="793" spans="1:59" x14ac:dyDescent="0.3">
      <c r="A793" s="4" t="s">
        <v>754</v>
      </c>
      <c r="B793" s="13"/>
      <c r="C793" s="13" t="s">
        <v>1371</v>
      </c>
      <c r="D793" s="101" t="s">
        <v>2170</v>
      </c>
      <c r="E793" s="102"/>
      <c r="F793" s="13" t="s">
        <v>2385</v>
      </c>
      <c r="G793" s="21">
        <v>350</v>
      </c>
      <c r="H793" s="21">
        <v>0</v>
      </c>
      <c r="I793" s="21">
        <f t="shared" si="760"/>
        <v>0</v>
      </c>
      <c r="J793" s="21">
        <f t="shared" si="761"/>
        <v>0</v>
      </c>
      <c r="K793" s="21">
        <f t="shared" si="762"/>
        <v>0</v>
      </c>
      <c r="L793" s="21">
        <v>0</v>
      </c>
      <c r="M793" s="21">
        <f t="shared" si="763"/>
        <v>0</v>
      </c>
      <c r="N793" s="35"/>
      <c r="O793" s="39"/>
      <c r="U793" s="41">
        <f t="shared" si="764"/>
        <v>0</v>
      </c>
      <c r="W793" s="41">
        <f t="shared" si="765"/>
        <v>0</v>
      </c>
      <c r="X793" s="41">
        <f t="shared" si="766"/>
        <v>0</v>
      </c>
      <c r="Y793" s="41">
        <f t="shared" si="767"/>
        <v>0</v>
      </c>
      <c r="Z793" s="41">
        <f t="shared" si="768"/>
        <v>0</v>
      </c>
      <c r="AA793" s="41">
        <f t="shared" si="769"/>
        <v>0</v>
      </c>
      <c r="AB793" s="41">
        <f t="shared" si="770"/>
        <v>0</v>
      </c>
      <c r="AC793" s="41">
        <f t="shared" si="771"/>
        <v>0</v>
      </c>
      <c r="AD793" s="31"/>
      <c r="AE793" s="21">
        <f t="shared" si="772"/>
        <v>0</v>
      </c>
      <c r="AF793" s="21">
        <f t="shared" si="773"/>
        <v>0</v>
      </c>
      <c r="AG793" s="21">
        <f t="shared" si="774"/>
        <v>0</v>
      </c>
      <c r="AI793" s="41">
        <v>21</v>
      </c>
      <c r="AJ793" s="41">
        <f t="shared" si="775"/>
        <v>0</v>
      </c>
      <c r="AK793" s="41">
        <f t="shared" si="776"/>
        <v>0</v>
      </c>
      <c r="AL793" s="42" t="s">
        <v>8</v>
      </c>
      <c r="AQ793" s="41">
        <f t="shared" si="777"/>
        <v>0</v>
      </c>
      <c r="AR793" s="41">
        <f t="shared" si="778"/>
        <v>0</v>
      </c>
      <c r="AS793" s="41">
        <f t="shared" si="779"/>
        <v>0</v>
      </c>
      <c r="AT793" s="44" t="s">
        <v>2470</v>
      </c>
      <c r="AU793" s="44" t="s">
        <v>2485</v>
      </c>
      <c r="AV793" s="31" t="s">
        <v>2486</v>
      </c>
      <c r="AX793" s="41">
        <f t="shared" si="780"/>
        <v>0</v>
      </c>
      <c r="AY793" s="41">
        <f t="shared" si="781"/>
        <v>0</v>
      </c>
      <c r="AZ793" s="41">
        <v>0</v>
      </c>
      <c r="BA793" s="41">
        <f t="shared" si="782"/>
        <v>0</v>
      </c>
      <c r="BC793" s="21">
        <f t="shared" si="783"/>
        <v>0</v>
      </c>
      <c r="BD793" s="21">
        <f t="shared" si="784"/>
        <v>0</v>
      </c>
      <c r="BE793" s="21">
        <f t="shared" si="785"/>
        <v>0</v>
      </c>
      <c r="BF793" s="21" t="s">
        <v>2492</v>
      </c>
      <c r="BG793" s="41" t="s">
        <v>1343</v>
      </c>
    </row>
    <row r="794" spans="1:59" x14ac:dyDescent="0.3">
      <c r="A794" s="4" t="s">
        <v>755</v>
      </c>
      <c r="B794" s="13"/>
      <c r="C794" s="13" t="s">
        <v>1372</v>
      </c>
      <c r="D794" s="101" t="s">
        <v>2171</v>
      </c>
      <c r="E794" s="102"/>
      <c r="F794" s="13" t="s">
        <v>2385</v>
      </c>
      <c r="G794" s="21">
        <v>220</v>
      </c>
      <c r="H794" s="21">
        <v>0</v>
      </c>
      <c r="I794" s="21">
        <f t="shared" si="760"/>
        <v>0</v>
      </c>
      <c r="J794" s="21">
        <f t="shared" si="761"/>
        <v>0</v>
      </c>
      <c r="K794" s="21">
        <f t="shared" si="762"/>
        <v>0</v>
      </c>
      <c r="L794" s="21">
        <v>0</v>
      </c>
      <c r="M794" s="21">
        <f t="shared" si="763"/>
        <v>0</v>
      </c>
      <c r="N794" s="35"/>
      <c r="O794" s="39"/>
      <c r="U794" s="41">
        <f t="shared" si="764"/>
        <v>0</v>
      </c>
      <c r="W794" s="41">
        <f t="shared" si="765"/>
        <v>0</v>
      </c>
      <c r="X794" s="41">
        <f t="shared" si="766"/>
        <v>0</v>
      </c>
      <c r="Y794" s="41">
        <f t="shared" si="767"/>
        <v>0</v>
      </c>
      <c r="Z794" s="41">
        <f t="shared" si="768"/>
        <v>0</v>
      </c>
      <c r="AA794" s="41">
        <f t="shared" si="769"/>
        <v>0</v>
      </c>
      <c r="AB794" s="41">
        <f t="shared" si="770"/>
        <v>0</v>
      </c>
      <c r="AC794" s="41">
        <f t="shared" si="771"/>
        <v>0</v>
      </c>
      <c r="AD794" s="31"/>
      <c r="AE794" s="21">
        <f t="shared" si="772"/>
        <v>0</v>
      </c>
      <c r="AF794" s="21">
        <f t="shared" si="773"/>
        <v>0</v>
      </c>
      <c r="AG794" s="21">
        <f t="shared" si="774"/>
        <v>0</v>
      </c>
      <c r="AI794" s="41">
        <v>21</v>
      </c>
      <c r="AJ794" s="41">
        <f t="shared" si="775"/>
        <v>0</v>
      </c>
      <c r="AK794" s="41">
        <f t="shared" si="776"/>
        <v>0</v>
      </c>
      <c r="AL794" s="42" t="s">
        <v>8</v>
      </c>
      <c r="AQ794" s="41">
        <f t="shared" si="777"/>
        <v>0</v>
      </c>
      <c r="AR794" s="41">
        <f t="shared" si="778"/>
        <v>0</v>
      </c>
      <c r="AS794" s="41">
        <f t="shared" si="779"/>
        <v>0</v>
      </c>
      <c r="AT794" s="44" t="s">
        <v>2470</v>
      </c>
      <c r="AU794" s="44" t="s">
        <v>2485</v>
      </c>
      <c r="AV794" s="31" t="s">
        <v>2486</v>
      </c>
      <c r="AX794" s="41">
        <f t="shared" si="780"/>
        <v>0</v>
      </c>
      <c r="AY794" s="41">
        <f t="shared" si="781"/>
        <v>0</v>
      </c>
      <c r="AZ794" s="41">
        <v>0</v>
      </c>
      <c r="BA794" s="41">
        <f t="shared" si="782"/>
        <v>0</v>
      </c>
      <c r="BC794" s="21">
        <f t="shared" si="783"/>
        <v>0</v>
      </c>
      <c r="BD794" s="21">
        <f t="shared" si="784"/>
        <v>0</v>
      </c>
      <c r="BE794" s="21">
        <f t="shared" si="785"/>
        <v>0</v>
      </c>
      <c r="BF794" s="21" t="s">
        <v>2492</v>
      </c>
      <c r="BG794" s="41" t="s">
        <v>1343</v>
      </c>
    </row>
    <row r="795" spans="1:59" x14ac:dyDescent="0.3">
      <c r="A795" s="4" t="s">
        <v>756</v>
      </c>
      <c r="B795" s="13"/>
      <c r="C795" s="13" t="s">
        <v>1373</v>
      </c>
      <c r="D795" s="101" t="s">
        <v>2172</v>
      </c>
      <c r="E795" s="102"/>
      <c r="F795" s="13" t="s">
        <v>2385</v>
      </c>
      <c r="G795" s="21">
        <v>860</v>
      </c>
      <c r="H795" s="21">
        <v>0</v>
      </c>
      <c r="I795" s="21">
        <f t="shared" si="760"/>
        <v>0</v>
      </c>
      <c r="J795" s="21">
        <f t="shared" si="761"/>
        <v>0</v>
      </c>
      <c r="K795" s="21">
        <f t="shared" si="762"/>
        <v>0</v>
      </c>
      <c r="L795" s="21">
        <v>0</v>
      </c>
      <c r="M795" s="21">
        <f t="shared" si="763"/>
        <v>0</v>
      </c>
      <c r="N795" s="35"/>
      <c r="O795" s="39"/>
      <c r="U795" s="41">
        <f t="shared" si="764"/>
        <v>0</v>
      </c>
      <c r="W795" s="41">
        <f t="shared" si="765"/>
        <v>0</v>
      </c>
      <c r="X795" s="41">
        <f t="shared" si="766"/>
        <v>0</v>
      </c>
      <c r="Y795" s="41">
        <f t="shared" si="767"/>
        <v>0</v>
      </c>
      <c r="Z795" s="41">
        <f t="shared" si="768"/>
        <v>0</v>
      </c>
      <c r="AA795" s="41">
        <f t="shared" si="769"/>
        <v>0</v>
      </c>
      <c r="AB795" s="41">
        <f t="shared" si="770"/>
        <v>0</v>
      </c>
      <c r="AC795" s="41">
        <f t="shared" si="771"/>
        <v>0</v>
      </c>
      <c r="AD795" s="31"/>
      <c r="AE795" s="21">
        <f t="shared" si="772"/>
        <v>0</v>
      </c>
      <c r="AF795" s="21">
        <f t="shared" si="773"/>
        <v>0</v>
      </c>
      <c r="AG795" s="21">
        <f t="shared" si="774"/>
        <v>0</v>
      </c>
      <c r="AI795" s="41">
        <v>21</v>
      </c>
      <c r="AJ795" s="41">
        <f t="shared" si="775"/>
        <v>0</v>
      </c>
      <c r="AK795" s="41">
        <f t="shared" si="776"/>
        <v>0</v>
      </c>
      <c r="AL795" s="42" t="s">
        <v>8</v>
      </c>
      <c r="AQ795" s="41">
        <f t="shared" si="777"/>
        <v>0</v>
      </c>
      <c r="AR795" s="41">
        <f t="shared" si="778"/>
        <v>0</v>
      </c>
      <c r="AS795" s="41">
        <f t="shared" si="779"/>
        <v>0</v>
      </c>
      <c r="AT795" s="44" t="s">
        <v>2470</v>
      </c>
      <c r="AU795" s="44" t="s">
        <v>2485</v>
      </c>
      <c r="AV795" s="31" t="s">
        <v>2486</v>
      </c>
      <c r="AX795" s="41">
        <f t="shared" si="780"/>
        <v>0</v>
      </c>
      <c r="AY795" s="41">
        <f t="shared" si="781"/>
        <v>0</v>
      </c>
      <c r="AZ795" s="41">
        <v>0</v>
      </c>
      <c r="BA795" s="41">
        <f t="shared" si="782"/>
        <v>0</v>
      </c>
      <c r="BC795" s="21">
        <f t="shared" si="783"/>
        <v>0</v>
      </c>
      <c r="BD795" s="21">
        <f t="shared" si="784"/>
        <v>0</v>
      </c>
      <c r="BE795" s="21">
        <f t="shared" si="785"/>
        <v>0</v>
      </c>
      <c r="BF795" s="21" t="s">
        <v>2492</v>
      </c>
      <c r="BG795" s="41" t="s">
        <v>1343</v>
      </c>
    </row>
    <row r="796" spans="1:59" x14ac:dyDescent="0.3">
      <c r="A796" s="4" t="s">
        <v>757</v>
      </c>
      <c r="B796" s="13"/>
      <c r="C796" s="13" t="s">
        <v>1374</v>
      </c>
      <c r="D796" s="101" t="s">
        <v>2173</v>
      </c>
      <c r="E796" s="102"/>
      <c r="F796" s="13" t="s">
        <v>2385</v>
      </c>
      <c r="G796" s="21">
        <v>650</v>
      </c>
      <c r="H796" s="21">
        <v>0</v>
      </c>
      <c r="I796" s="21">
        <f t="shared" si="760"/>
        <v>0</v>
      </c>
      <c r="J796" s="21">
        <f t="shared" si="761"/>
        <v>0</v>
      </c>
      <c r="K796" s="21">
        <f t="shared" si="762"/>
        <v>0</v>
      </c>
      <c r="L796" s="21">
        <v>0</v>
      </c>
      <c r="M796" s="21">
        <f t="shared" si="763"/>
        <v>0</v>
      </c>
      <c r="N796" s="35"/>
      <c r="O796" s="39"/>
      <c r="U796" s="41">
        <f t="shared" si="764"/>
        <v>0</v>
      </c>
      <c r="W796" s="41">
        <f t="shared" si="765"/>
        <v>0</v>
      </c>
      <c r="X796" s="41">
        <f t="shared" si="766"/>
        <v>0</v>
      </c>
      <c r="Y796" s="41">
        <f t="shared" si="767"/>
        <v>0</v>
      </c>
      <c r="Z796" s="41">
        <f t="shared" si="768"/>
        <v>0</v>
      </c>
      <c r="AA796" s="41">
        <f t="shared" si="769"/>
        <v>0</v>
      </c>
      <c r="AB796" s="41">
        <f t="shared" si="770"/>
        <v>0</v>
      </c>
      <c r="AC796" s="41">
        <f t="shared" si="771"/>
        <v>0</v>
      </c>
      <c r="AD796" s="31"/>
      <c r="AE796" s="21">
        <f t="shared" si="772"/>
        <v>0</v>
      </c>
      <c r="AF796" s="21">
        <f t="shared" si="773"/>
        <v>0</v>
      </c>
      <c r="AG796" s="21">
        <f t="shared" si="774"/>
        <v>0</v>
      </c>
      <c r="AI796" s="41">
        <v>21</v>
      </c>
      <c r="AJ796" s="41">
        <f t="shared" si="775"/>
        <v>0</v>
      </c>
      <c r="AK796" s="41">
        <f t="shared" si="776"/>
        <v>0</v>
      </c>
      <c r="AL796" s="42" t="s">
        <v>8</v>
      </c>
      <c r="AQ796" s="41">
        <f t="shared" si="777"/>
        <v>0</v>
      </c>
      <c r="AR796" s="41">
        <f t="shared" si="778"/>
        <v>0</v>
      </c>
      <c r="AS796" s="41">
        <f t="shared" si="779"/>
        <v>0</v>
      </c>
      <c r="AT796" s="44" t="s">
        <v>2470</v>
      </c>
      <c r="AU796" s="44" t="s">
        <v>2485</v>
      </c>
      <c r="AV796" s="31" t="s">
        <v>2486</v>
      </c>
      <c r="AX796" s="41">
        <f t="shared" si="780"/>
        <v>0</v>
      </c>
      <c r="AY796" s="41">
        <f t="shared" si="781"/>
        <v>0</v>
      </c>
      <c r="AZ796" s="41">
        <v>0</v>
      </c>
      <c r="BA796" s="41">
        <f t="shared" si="782"/>
        <v>0</v>
      </c>
      <c r="BC796" s="21">
        <f t="shared" si="783"/>
        <v>0</v>
      </c>
      <c r="BD796" s="21">
        <f t="shared" si="784"/>
        <v>0</v>
      </c>
      <c r="BE796" s="21">
        <f t="shared" si="785"/>
        <v>0</v>
      </c>
      <c r="BF796" s="21" t="s">
        <v>2492</v>
      </c>
      <c r="BG796" s="41" t="s">
        <v>1343</v>
      </c>
    </row>
    <row r="797" spans="1:59" x14ac:dyDescent="0.3">
      <c r="A797" s="4" t="s">
        <v>758</v>
      </c>
      <c r="B797" s="13"/>
      <c r="C797" s="13" t="s">
        <v>1375</v>
      </c>
      <c r="D797" s="101" t="s">
        <v>2174</v>
      </c>
      <c r="E797" s="102"/>
      <c r="F797" s="13" t="s">
        <v>2395</v>
      </c>
      <c r="G797" s="21">
        <v>1</v>
      </c>
      <c r="H797" s="21">
        <v>0</v>
      </c>
      <c r="I797" s="21">
        <f t="shared" si="760"/>
        <v>0</v>
      </c>
      <c r="J797" s="21">
        <f t="shared" si="761"/>
        <v>0</v>
      </c>
      <c r="K797" s="21">
        <f t="shared" si="762"/>
        <v>0</v>
      </c>
      <c r="L797" s="21">
        <v>0</v>
      </c>
      <c r="M797" s="21">
        <f t="shared" si="763"/>
        <v>0</v>
      </c>
      <c r="N797" s="35"/>
      <c r="O797" s="39"/>
      <c r="U797" s="41">
        <f t="shared" si="764"/>
        <v>0</v>
      </c>
      <c r="W797" s="41">
        <f t="shared" si="765"/>
        <v>0</v>
      </c>
      <c r="X797" s="41">
        <f t="shared" si="766"/>
        <v>0</v>
      </c>
      <c r="Y797" s="41">
        <f t="shared" si="767"/>
        <v>0</v>
      </c>
      <c r="Z797" s="41">
        <f t="shared" si="768"/>
        <v>0</v>
      </c>
      <c r="AA797" s="41">
        <f t="shared" si="769"/>
        <v>0</v>
      </c>
      <c r="AB797" s="41">
        <f t="shared" si="770"/>
        <v>0</v>
      </c>
      <c r="AC797" s="41">
        <f t="shared" si="771"/>
        <v>0</v>
      </c>
      <c r="AD797" s="31"/>
      <c r="AE797" s="21">
        <f t="shared" si="772"/>
        <v>0</v>
      </c>
      <c r="AF797" s="21">
        <f t="shared" si="773"/>
        <v>0</v>
      </c>
      <c r="AG797" s="21">
        <f t="shared" si="774"/>
        <v>0</v>
      </c>
      <c r="AI797" s="41">
        <v>21</v>
      </c>
      <c r="AJ797" s="41">
        <f t="shared" si="775"/>
        <v>0</v>
      </c>
      <c r="AK797" s="41">
        <f t="shared" si="776"/>
        <v>0</v>
      </c>
      <c r="AL797" s="42" t="s">
        <v>8</v>
      </c>
      <c r="AQ797" s="41">
        <f t="shared" si="777"/>
        <v>0</v>
      </c>
      <c r="AR797" s="41">
        <f t="shared" si="778"/>
        <v>0</v>
      </c>
      <c r="AS797" s="41">
        <f t="shared" si="779"/>
        <v>0</v>
      </c>
      <c r="AT797" s="44" t="s">
        <v>2470</v>
      </c>
      <c r="AU797" s="44" t="s">
        <v>2485</v>
      </c>
      <c r="AV797" s="31" t="s">
        <v>2486</v>
      </c>
      <c r="AX797" s="41">
        <f t="shared" si="780"/>
        <v>0</v>
      </c>
      <c r="AY797" s="41">
        <f t="shared" si="781"/>
        <v>0</v>
      </c>
      <c r="AZ797" s="41">
        <v>0</v>
      </c>
      <c r="BA797" s="41">
        <f t="shared" si="782"/>
        <v>0</v>
      </c>
      <c r="BC797" s="21">
        <f t="shared" si="783"/>
        <v>0</v>
      </c>
      <c r="BD797" s="21">
        <f t="shared" si="784"/>
        <v>0</v>
      </c>
      <c r="BE797" s="21">
        <f t="shared" si="785"/>
        <v>0</v>
      </c>
      <c r="BF797" s="21" t="s">
        <v>2492</v>
      </c>
      <c r="BG797" s="41" t="s">
        <v>1343</v>
      </c>
    </row>
    <row r="798" spans="1:59" x14ac:dyDescent="0.3">
      <c r="A798" s="4" t="s">
        <v>759</v>
      </c>
      <c r="B798" s="13"/>
      <c r="C798" s="13" t="s">
        <v>1376</v>
      </c>
      <c r="D798" s="101" t="s">
        <v>2175</v>
      </c>
      <c r="E798" s="102"/>
      <c r="F798" s="13" t="s">
        <v>2384</v>
      </c>
      <c r="G798" s="21">
        <v>1960</v>
      </c>
      <c r="H798" s="21">
        <v>0</v>
      </c>
      <c r="I798" s="21">
        <f t="shared" si="760"/>
        <v>0</v>
      </c>
      <c r="J798" s="21">
        <f t="shared" si="761"/>
        <v>0</v>
      </c>
      <c r="K798" s="21">
        <f t="shared" si="762"/>
        <v>0</v>
      </c>
      <c r="L798" s="21">
        <v>0</v>
      </c>
      <c r="M798" s="21">
        <f t="shared" si="763"/>
        <v>0</v>
      </c>
      <c r="N798" s="35"/>
      <c r="O798" s="39"/>
      <c r="U798" s="41">
        <f t="shared" si="764"/>
        <v>0</v>
      </c>
      <c r="W798" s="41">
        <f t="shared" si="765"/>
        <v>0</v>
      </c>
      <c r="X798" s="41">
        <f t="shared" si="766"/>
        <v>0</v>
      </c>
      <c r="Y798" s="41">
        <f t="shared" si="767"/>
        <v>0</v>
      </c>
      <c r="Z798" s="41">
        <f t="shared" si="768"/>
        <v>0</v>
      </c>
      <c r="AA798" s="41">
        <f t="shared" si="769"/>
        <v>0</v>
      </c>
      <c r="AB798" s="41">
        <f t="shared" si="770"/>
        <v>0</v>
      </c>
      <c r="AC798" s="41">
        <f t="shared" si="771"/>
        <v>0</v>
      </c>
      <c r="AD798" s="31"/>
      <c r="AE798" s="21">
        <f t="shared" si="772"/>
        <v>0</v>
      </c>
      <c r="AF798" s="21">
        <f t="shared" si="773"/>
        <v>0</v>
      </c>
      <c r="AG798" s="21">
        <f t="shared" si="774"/>
        <v>0</v>
      </c>
      <c r="AI798" s="41">
        <v>21</v>
      </c>
      <c r="AJ798" s="41">
        <f t="shared" si="775"/>
        <v>0</v>
      </c>
      <c r="AK798" s="41">
        <f t="shared" si="776"/>
        <v>0</v>
      </c>
      <c r="AL798" s="42" t="s">
        <v>8</v>
      </c>
      <c r="AQ798" s="41">
        <f t="shared" si="777"/>
        <v>0</v>
      </c>
      <c r="AR798" s="41">
        <f t="shared" si="778"/>
        <v>0</v>
      </c>
      <c r="AS798" s="41">
        <f t="shared" si="779"/>
        <v>0</v>
      </c>
      <c r="AT798" s="44" t="s">
        <v>2470</v>
      </c>
      <c r="AU798" s="44" t="s">
        <v>2485</v>
      </c>
      <c r="AV798" s="31" t="s">
        <v>2486</v>
      </c>
      <c r="AX798" s="41">
        <f t="shared" si="780"/>
        <v>0</v>
      </c>
      <c r="AY798" s="41">
        <f t="shared" si="781"/>
        <v>0</v>
      </c>
      <c r="AZ798" s="41">
        <v>0</v>
      </c>
      <c r="BA798" s="41">
        <f t="shared" si="782"/>
        <v>0</v>
      </c>
      <c r="BC798" s="21">
        <f t="shared" si="783"/>
        <v>0</v>
      </c>
      <c r="BD798" s="21">
        <f t="shared" si="784"/>
        <v>0</v>
      </c>
      <c r="BE798" s="21">
        <f t="shared" si="785"/>
        <v>0</v>
      </c>
      <c r="BF798" s="21" t="s">
        <v>2492</v>
      </c>
      <c r="BG798" s="41" t="s">
        <v>1343</v>
      </c>
    </row>
    <row r="799" spans="1:59" x14ac:dyDescent="0.3">
      <c r="A799" s="4" t="s">
        <v>760</v>
      </c>
      <c r="B799" s="13"/>
      <c r="C799" s="13" t="s">
        <v>1377</v>
      </c>
      <c r="D799" s="101" t="s">
        <v>2176</v>
      </c>
      <c r="E799" s="102"/>
      <c r="F799" s="13" t="s">
        <v>2386</v>
      </c>
      <c r="G799" s="21">
        <v>1</v>
      </c>
      <c r="H799" s="21">
        <v>0</v>
      </c>
      <c r="I799" s="21">
        <f t="shared" si="760"/>
        <v>0</v>
      </c>
      <c r="J799" s="21">
        <f t="shared" si="761"/>
        <v>0</v>
      </c>
      <c r="K799" s="21">
        <f t="shared" si="762"/>
        <v>0</v>
      </c>
      <c r="L799" s="21">
        <v>0</v>
      </c>
      <c r="M799" s="21">
        <f t="shared" si="763"/>
        <v>0</v>
      </c>
      <c r="N799" s="35"/>
      <c r="O799" s="39"/>
      <c r="U799" s="41">
        <f t="shared" si="764"/>
        <v>0</v>
      </c>
      <c r="W799" s="41">
        <f t="shared" si="765"/>
        <v>0</v>
      </c>
      <c r="X799" s="41">
        <f t="shared" si="766"/>
        <v>0</v>
      </c>
      <c r="Y799" s="41">
        <f t="shared" si="767"/>
        <v>0</v>
      </c>
      <c r="Z799" s="41">
        <f t="shared" si="768"/>
        <v>0</v>
      </c>
      <c r="AA799" s="41">
        <f t="shared" si="769"/>
        <v>0</v>
      </c>
      <c r="AB799" s="41">
        <f t="shared" si="770"/>
        <v>0</v>
      </c>
      <c r="AC799" s="41">
        <f t="shared" si="771"/>
        <v>0</v>
      </c>
      <c r="AD799" s="31"/>
      <c r="AE799" s="21">
        <f t="shared" si="772"/>
        <v>0</v>
      </c>
      <c r="AF799" s="21">
        <f t="shared" si="773"/>
        <v>0</v>
      </c>
      <c r="AG799" s="21">
        <f t="shared" si="774"/>
        <v>0</v>
      </c>
      <c r="AI799" s="41">
        <v>21</v>
      </c>
      <c r="AJ799" s="41">
        <f t="shared" si="775"/>
        <v>0</v>
      </c>
      <c r="AK799" s="41">
        <f t="shared" si="776"/>
        <v>0</v>
      </c>
      <c r="AL799" s="42" t="s">
        <v>8</v>
      </c>
      <c r="AQ799" s="41">
        <f t="shared" si="777"/>
        <v>0</v>
      </c>
      <c r="AR799" s="41">
        <f t="shared" si="778"/>
        <v>0</v>
      </c>
      <c r="AS799" s="41">
        <f t="shared" si="779"/>
        <v>0</v>
      </c>
      <c r="AT799" s="44" t="s">
        <v>2470</v>
      </c>
      <c r="AU799" s="44" t="s">
        <v>2485</v>
      </c>
      <c r="AV799" s="31" t="s">
        <v>2486</v>
      </c>
      <c r="AX799" s="41">
        <f t="shared" si="780"/>
        <v>0</v>
      </c>
      <c r="AY799" s="41">
        <f t="shared" si="781"/>
        <v>0</v>
      </c>
      <c r="AZ799" s="41">
        <v>0</v>
      </c>
      <c r="BA799" s="41">
        <f t="shared" si="782"/>
        <v>0</v>
      </c>
      <c r="BC799" s="21">
        <f t="shared" si="783"/>
        <v>0</v>
      </c>
      <c r="BD799" s="21">
        <f t="shared" si="784"/>
        <v>0</v>
      </c>
      <c r="BE799" s="21">
        <f t="shared" si="785"/>
        <v>0</v>
      </c>
      <c r="BF799" s="21" t="s">
        <v>2492</v>
      </c>
      <c r="BG799" s="41" t="s">
        <v>1343</v>
      </c>
    </row>
    <row r="800" spans="1:59" x14ac:dyDescent="0.3">
      <c r="A800" s="4" t="s">
        <v>761</v>
      </c>
      <c r="B800" s="13"/>
      <c r="C800" s="13" t="s">
        <v>1378</v>
      </c>
      <c r="D800" s="101" t="s">
        <v>2177</v>
      </c>
      <c r="E800" s="102"/>
      <c r="F800" s="13" t="s">
        <v>2386</v>
      </c>
      <c r="G800" s="21">
        <v>1</v>
      </c>
      <c r="H800" s="21">
        <v>0</v>
      </c>
      <c r="I800" s="21">
        <f t="shared" si="760"/>
        <v>0</v>
      </c>
      <c r="J800" s="21">
        <f t="shared" si="761"/>
        <v>0</v>
      </c>
      <c r="K800" s="21">
        <f>G800*H800</f>
        <v>0</v>
      </c>
      <c r="L800" s="21">
        <v>0</v>
      </c>
      <c r="M800" s="21">
        <f>G800*L800</f>
        <v>0</v>
      </c>
      <c r="N800" s="35"/>
      <c r="O800" s="39"/>
      <c r="U800" s="41">
        <f>IF(AL800="5",BE800,0)</f>
        <v>0</v>
      </c>
      <c r="W800" s="41">
        <f>IF(AL800="1",BC800,0)</f>
        <v>0</v>
      </c>
      <c r="X800" s="41">
        <f>IF(AL800="1",BD800,0)</f>
        <v>0</v>
      </c>
      <c r="Y800" s="41">
        <f>IF(AL800="7",BC800,0)</f>
        <v>0</v>
      </c>
      <c r="Z800" s="41">
        <f>IF(AL800="7",BD800,0)</f>
        <v>0</v>
      </c>
      <c r="AA800" s="41">
        <f>IF(AL800="2",BC800,0)</f>
        <v>0</v>
      </c>
      <c r="AB800" s="41">
        <f>IF(AL800="2",BD800,0)</f>
        <v>0</v>
      </c>
      <c r="AC800" s="41">
        <f>IF(AL800="0",BE800,0)</f>
        <v>0</v>
      </c>
      <c r="AD800" s="31"/>
      <c r="AE800" s="21">
        <f t="shared" si="772"/>
        <v>0</v>
      </c>
      <c r="AF800" s="21">
        <f t="shared" si="773"/>
        <v>0</v>
      </c>
      <c r="AG800" s="21">
        <f t="shared" si="774"/>
        <v>0</v>
      </c>
      <c r="AI800" s="41">
        <v>21</v>
      </c>
      <c r="AJ800" s="41">
        <f t="shared" si="775"/>
        <v>0</v>
      </c>
      <c r="AK800" s="41">
        <f t="shared" si="776"/>
        <v>0</v>
      </c>
      <c r="AL800" s="42" t="s">
        <v>8</v>
      </c>
      <c r="AQ800" s="41">
        <f>AR800+AS800</f>
        <v>0</v>
      </c>
      <c r="AR800" s="41">
        <f t="shared" si="778"/>
        <v>0</v>
      </c>
      <c r="AS800" s="41">
        <f t="shared" si="779"/>
        <v>0</v>
      </c>
      <c r="AT800" s="44" t="s">
        <v>2470</v>
      </c>
      <c r="AU800" s="44" t="s">
        <v>2485</v>
      </c>
      <c r="AV800" s="31" t="s">
        <v>2486</v>
      </c>
      <c r="AX800" s="41">
        <f>AR800+AS800</f>
        <v>0</v>
      </c>
      <c r="AY800" s="41">
        <f t="shared" si="781"/>
        <v>0</v>
      </c>
      <c r="AZ800" s="41">
        <v>0</v>
      </c>
      <c r="BA800" s="41">
        <f t="shared" si="782"/>
        <v>0</v>
      </c>
      <c r="BC800" s="21">
        <f t="shared" si="783"/>
        <v>0</v>
      </c>
      <c r="BD800" s="21">
        <f t="shared" si="784"/>
        <v>0</v>
      </c>
      <c r="BE800" s="21">
        <f t="shared" si="785"/>
        <v>0</v>
      </c>
      <c r="BF800" s="21" t="s">
        <v>2492</v>
      </c>
      <c r="BG800" s="41" t="s">
        <v>1343</v>
      </c>
    </row>
    <row r="801" spans="1:59" x14ac:dyDescent="0.3">
      <c r="A801" s="4" t="s">
        <v>761</v>
      </c>
      <c r="B801" s="13"/>
      <c r="C801" s="13"/>
      <c r="D801" s="105" t="s">
        <v>2719</v>
      </c>
      <c r="E801" s="106"/>
      <c r="F801" s="92" t="s">
        <v>2386</v>
      </c>
      <c r="G801" s="93">
        <v>1</v>
      </c>
      <c r="H801" s="21">
        <v>0</v>
      </c>
      <c r="I801" s="93">
        <f>G801*AO801</f>
        <v>0</v>
      </c>
      <c r="J801" s="93">
        <f>G801*AP801</f>
        <v>0</v>
      </c>
      <c r="K801" s="93">
        <f>G801*H801</f>
        <v>0</v>
      </c>
      <c r="L801" s="21">
        <v>0</v>
      </c>
      <c r="M801" s="21">
        <f t="shared" si="763"/>
        <v>0</v>
      </c>
      <c r="N801" s="35"/>
      <c r="O801" s="39"/>
      <c r="U801" s="41">
        <f t="shared" si="764"/>
        <v>0</v>
      </c>
      <c r="W801" s="41">
        <f t="shared" si="765"/>
        <v>0</v>
      </c>
      <c r="X801" s="41">
        <f t="shared" si="766"/>
        <v>0</v>
      </c>
      <c r="Y801" s="41">
        <f t="shared" si="767"/>
        <v>0</v>
      </c>
      <c r="Z801" s="41">
        <f t="shared" si="768"/>
        <v>0</v>
      </c>
      <c r="AA801" s="41">
        <f t="shared" si="769"/>
        <v>0</v>
      </c>
      <c r="AB801" s="41">
        <f t="shared" si="770"/>
        <v>0</v>
      </c>
      <c r="AC801" s="41">
        <f t="shared" si="771"/>
        <v>0</v>
      </c>
      <c r="AD801" s="31"/>
      <c r="AE801" s="21">
        <f t="shared" si="772"/>
        <v>0</v>
      </c>
      <c r="AF801" s="21">
        <f t="shared" si="773"/>
        <v>0</v>
      </c>
      <c r="AG801" s="21">
        <f t="shared" si="774"/>
        <v>0</v>
      </c>
      <c r="AI801" s="41">
        <v>21</v>
      </c>
      <c r="AJ801" s="41">
        <f t="shared" si="775"/>
        <v>0</v>
      </c>
      <c r="AK801" s="41">
        <f t="shared" si="776"/>
        <v>0</v>
      </c>
      <c r="AL801" s="42" t="s">
        <v>8</v>
      </c>
      <c r="AQ801" s="41">
        <f t="shared" si="777"/>
        <v>0</v>
      </c>
      <c r="AR801" s="41">
        <f t="shared" si="778"/>
        <v>0</v>
      </c>
      <c r="AS801" s="41">
        <f t="shared" si="779"/>
        <v>0</v>
      </c>
      <c r="AT801" s="44" t="s">
        <v>2470</v>
      </c>
      <c r="AU801" s="44" t="s">
        <v>2485</v>
      </c>
      <c r="AV801" s="31" t="s">
        <v>2486</v>
      </c>
      <c r="AX801" s="41">
        <f t="shared" si="780"/>
        <v>0</v>
      </c>
      <c r="AY801" s="41">
        <f t="shared" si="781"/>
        <v>0</v>
      </c>
      <c r="AZ801" s="41">
        <v>0</v>
      </c>
      <c r="BA801" s="41">
        <f t="shared" si="782"/>
        <v>0</v>
      </c>
      <c r="BC801" s="21">
        <f t="shared" si="783"/>
        <v>0</v>
      </c>
      <c r="BD801" s="21">
        <f t="shared" si="784"/>
        <v>0</v>
      </c>
      <c r="BE801" s="21">
        <f t="shared" si="785"/>
        <v>0</v>
      </c>
      <c r="BF801" s="21" t="s">
        <v>2492</v>
      </c>
      <c r="BG801" s="41" t="s">
        <v>1343</v>
      </c>
    </row>
    <row r="802" spans="1:59" x14ac:dyDescent="0.3">
      <c r="A802" s="5"/>
      <c r="B802" s="14"/>
      <c r="C802" s="14" t="s">
        <v>1379</v>
      </c>
      <c r="D802" s="103" t="s">
        <v>2178</v>
      </c>
      <c r="E802" s="104"/>
      <c r="F802" s="19" t="s">
        <v>6</v>
      </c>
      <c r="G802" s="19" t="s">
        <v>6</v>
      </c>
      <c r="H802" s="19" t="s">
        <v>6</v>
      </c>
      <c r="I802" s="47">
        <f>SUM(I803:I861)</f>
        <v>0</v>
      </c>
      <c r="J802" s="47">
        <f>SUM(J803:J861)</f>
        <v>0</v>
      </c>
      <c r="K802" s="47">
        <f>SUM(K803:K861)</f>
        <v>0</v>
      </c>
      <c r="L802" s="31"/>
      <c r="M802" s="47">
        <f>SUM(M803:M861)</f>
        <v>0.22995000000000002</v>
      </c>
      <c r="N802" s="36"/>
      <c r="O802" s="39"/>
      <c r="AD802" s="31"/>
      <c r="AN802" s="47">
        <f>SUM(AE803:AE861)</f>
        <v>0</v>
      </c>
      <c r="AO802" s="47">
        <f>SUM(AF803:AF861)</f>
        <v>0</v>
      </c>
      <c r="AP802" s="47">
        <f>SUM(AG803:AG861)</f>
        <v>0</v>
      </c>
    </row>
    <row r="803" spans="1:59" x14ac:dyDescent="0.3">
      <c r="A803" s="4" t="s">
        <v>762</v>
      </c>
      <c r="B803" s="13"/>
      <c r="C803" s="13" t="s">
        <v>1380</v>
      </c>
      <c r="D803" s="101" t="s">
        <v>2179</v>
      </c>
      <c r="E803" s="102"/>
      <c r="F803" s="13" t="s">
        <v>2384</v>
      </c>
      <c r="G803" s="21">
        <v>18</v>
      </c>
      <c r="H803" s="21">
        <v>0</v>
      </c>
      <c r="I803" s="21">
        <f t="shared" ref="I803:I834" si="786">G803*AJ803</f>
        <v>0</v>
      </c>
      <c r="J803" s="21">
        <f t="shared" ref="J803:J834" si="787">G803*AK803</f>
        <v>0</v>
      </c>
      <c r="K803" s="21">
        <f t="shared" ref="K803:K834" si="788">G803*H803</f>
        <v>0</v>
      </c>
      <c r="L803" s="21">
        <v>0</v>
      </c>
      <c r="M803" s="21">
        <f t="shared" ref="M803:M834" si="789">G803*L803</f>
        <v>0</v>
      </c>
      <c r="N803" s="35"/>
      <c r="O803" s="39"/>
      <c r="U803" s="41">
        <f t="shared" ref="U803:U834" si="790">IF(AL803="5",BE803,0)</f>
        <v>0</v>
      </c>
      <c r="W803" s="41">
        <f t="shared" ref="W803:W834" si="791">IF(AL803="1",BC803,0)</f>
        <v>0</v>
      </c>
      <c r="X803" s="41">
        <f t="shared" ref="X803:X834" si="792">IF(AL803="1",BD803,0)</f>
        <v>0</v>
      </c>
      <c r="Y803" s="41">
        <f t="shared" ref="Y803:Y834" si="793">IF(AL803="7",BC803,0)</f>
        <v>0</v>
      </c>
      <c r="Z803" s="41">
        <f t="shared" ref="Z803:Z834" si="794">IF(AL803="7",BD803,0)</f>
        <v>0</v>
      </c>
      <c r="AA803" s="41">
        <f t="shared" ref="AA803:AA834" si="795">IF(AL803="2",BC803,0)</f>
        <v>0</v>
      </c>
      <c r="AB803" s="41">
        <f t="shared" ref="AB803:AB834" si="796">IF(AL803="2",BD803,0)</f>
        <v>0</v>
      </c>
      <c r="AC803" s="41">
        <f t="shared" ref="AC803:AC834" si="797">IF(AL803="0",BE803,0)</f>
        <v>0</v>
      </c>
      <c r="AD803" s="31"/>
      <c r="AE803" s="21">
        <f t="shared" ref="AE803:AE834" si="798">IF(AI803=0,K803,0)</f>
        <v>0</v>
      </c>
      <c r="AF803" s="21">
        <f t="shared" ref="AF803:AF834" si="799">IF(AI803=15,K803,0)</f>
        <v>0</v>
      </c>
      <c r="AG803" s="21">
        <f t="shared" ref="AG803:AG834" si="800">IF(AI803=21,K803,0)</f>
        <v>0</v>
      </c>
      <c r="AI803" s="41">
        <v>21</v>
      </c>
      <c r="AJ803" s="41">
        <f t="shared" ref="AJ803:AJ834" si="801">H803*0</f>
        <v>0</v>
      </c>
      <c r="AK803" s="41">
        <f t="shared" ref="AK803:AK834" si="802">H803*(1-0)</f>
        <v>0</v>
      </c>
      <c r="AL803" s="42" t="s">
        <v>8</v>
      </c>
      <c r="AQ803" s="41">
        <f t="shared" ref="AQ803:AQ834" si="803">AR803+AS803</f>
        <v>0</v>
      </c>
      <c r="AR803" s="41">
        <f t="shared" ref="AR803:AR834" si="804">G803*AJ803</f>
        <v>0</v>
      </c>
      <c r="AS803" s="41">
        <f t="shared" ref="AS803:AS834" si="805">G803*AK803</f>
        <v>0</v>
      </c>
      <c r="AT803" s="44" t="s">
        <v>2471</v>
      </c>
      <c r="AU803" s="44" t="s">
        <v>2485</v>
      </c>
      <c r="AV803" s="31" t="s">
        <v>2486</v>
      </c>
      <c r="AX803" s="41">
        <f t="shared" ref="AX803:AX834" si="806">AR803+AS803</f>
        <v>0</v>
      </c>
      <c r="AY803" s="41">
        <f t="shared" ref="AY803:AY834" si="807">H803/(100-AZ803)*100</f>
        <v>0</v>
      </c>
      <c r="AZ803" s="41">
        <v>0</v>
      </c>
      <c r="BA803" s="41">
        <f t="shared" ref="BA803:BA834" si="808">M803</f>
        <v>0</v>
      </c>
      <c r="BC803" s="21">
        <f t="shared" ref="BC803:BC834" si="809">G803*AJ803</f>
        <v>0</v>
      </c>
      <c r="BD803" s="21">
        <f t="shared" ref="BD803:BD834" si="810">G803*AK803</f>
        <v>0</v>
      </c>
      <c r="BE803" s="21">
        <f t="shared" ref="BE803:BE834" si="811">G803*H803</f>
        <v>0</v>
      </c>
      <c r="BF803" s="21" t="s">
        <v>2492</v>
      </c>
      <c r="BG803" s="41" t="s">
        <v>1379</v>
      </c>
    </row>
    <row r="804" spans="1:59" x14ac:dyDescent="0.3">
      <c r="A804" s="4" t="s">
        <v>763</v>
      </c>
      <c r="B804" s="13"/>
      <c r="C804" s="13" t="s">
        <v>1381</v>
      </c>
      <c r="D804" s="101" t="s">
        <v>2180</v>
      </c>
      <c r="E804" s="102"/>
      <c r="F804" s="13" t="s">
        <v>2384</v>
      </c>
      <c r="G804" s="21">
        <v>1</v>
      </c>
      <c r="H804" s="21">
        <v>0</v>
      </c>
      <c r="I804" s="21">
        <f t="shared" si="786"/>
        <v>0</v>
      </c>
      <c r="J804" s="21">
        <f t="shared" si="787"/>
        <v>0</v>
      </c>
      <c r="K804" s="21">
        <f t="shared" si="788"/>
        <v>0</v>
      </c>
      <c r="L804" s="21">
        <v>0</v>
      </c>
      <c r="M804" s="21">
        <f t="shared" si="789"/>
        <v>0</v>
      </c>
      <c r="N804" s="35"/>
      <c r="O804" s="39"/>
      <c r="U804" s="41">
        <f t="shared" si="790"/>
        <v>0</v>
      </c>
      <c r="W804" s="41">
        <f t="shared" si="791"/>
        <v>0</v>
      </c>
      <c r="X804" s="41">
        <f t="shared" si="792"/>
        <v>0</v>
      </c>
      <c r="Y804" s="41">
        <f t="shared" si="793"/>
        <v>0</v>
      </c>
      <c r="Z804" s="41">
        <f t="shared" si="794"/>
        <v>0</v>
      </c>
      <c r="AA804" s="41">
        <f t="shared" si="795"/>
        <v>0</v>
      </c>
      <c r="AB804" s="41">
        <f t="shared" si="796"/>
        <v>0</v>
      </c>
      <c r="AC804" s="41">
        <f t="shared" si="797"/>
        <v>0</v>
      </c>
      <c r="AD804" s="31"/>
      <c r="AE804" s="21">
        <f t="shared" si="798"/>
        <v>0</v>
      </c>
      <c r="AF804" s="21">
        <f t="shared" si="799"/>
        <v>0</v>
      </c>
      <c r="AG804" s="21">
        <f t="shared" si="800"/>
        <v>0</v>
      </c>
      <c r="AI804" s="41">
        <v>21</v>
      </c>
      <c r="AJ804" s="41">
        <f t="shared" si="801"/>
        <v>0</v>
      </c>
      <c r="AK804" s="41">
        <f t="shared" si="802"/>
        <v>0</v>
      </c>
      <c r="AL804" s="42" t="s">
        <v>8</v>
      </c>
      <c r="AQ804" s="41">
        <f t="shared" si="803"/>
        <v>0</v>
      </c>
      <c r="AR804" s="41">
        <f t="shared" si="804"/>
        <v>0</v>
      </c>
      <c r="AS804" s="41">
        <f t="shared" si="805"/>
        <v>0</v>
      </c>
      <c r="AT804" s="44" t="s">
        <v>2471</v>
      </c>
      <c r="AU804" s="44" t="s">
        <v>2485</v>
      </c>
      <c r="AV804" s="31" t="s">
        <v>2486</v>
      </c>
      <c r="AX804" s="41">
        <f t="shared" si="806"/>
        <v>0</v>
      </c>
      <c r="AY804" s="41">
        <f t="shared" si="807"/>
        <v>0</v>
      </c>
      <c r="AZ804" s="41">
        <v>0</v>
      </c>
      <c r="BA804" s="41">
        <f t="shared" si="808"/>
        <v>0</v>
      </c>
      <c r="BC804" s="21">
        <f t="shared" si="809"/>
        <v>0</v>
      </c>
      <c r="BD804" s="21">
        <f t="shared" si="810"/>
        <v>0</v>
      </c>
      <c r="BE804" s="21">
        <f t="shared" si="811"/>
        <v>0</v>
      </c>
      <c r="BF804" s="21" t="s">
        <v>2492</v>
      </c>
      <c r="BG804" s="41" t="s">
        <v>1379</v>
      </c>
    </row>
    <row r="805" spans="1:59" x14ac:dyDescent="0.3">
      <c r="A805" s="4" t="s">
        <v>764</v>
      </c>
      <c r="B805" s="13"/>
      <c r="C805" s="13" t="s">
        <v>1382</v>
      </c>
      <c r="D805" s="101" t="s">
        <v>2181</v>
      </c>
      <c r="E805" s="102"/>
      <c r="F805" s="13" t="s">
        <v>2384</v>
      </c>
      <c r="G805" s="21">
        <v>12</v>
      </c>
      <c r="H805" s="21">
        <v>0</v>
      </c>
      <c r="I805" s="21">
        <f t="shared" si="786"/>
        <v>0</v>
      </c>
      <c r="J805" s="21">
        <f t="shared" si="787"/>
        <v>0</v>
      </c>
      <c r="K805" s="21">
        <f t="shared" si="788"/>
        <v>0</v>
      </c>
      <c r="L805" s="21">
        <v>0</v>
      </c>
      <c r="M805" s="21">
        <f t="shared" si="789"/>
        <v>0</v>
      </c>
      <c r="N805" s="35"/>
      <c r="O805" s="39"/>
      <c r="U805" s="41">
        <f t="shared" si="790"/>
        <v>0</v>
      </c>
      <c r="W805" s="41">
        <f t="shared" si="791"/>
        <v>0</v>
      </c>
      <c r="X805" s="41">
        <f t="shared" si="792"/>
        <v>0</v>
      </c>
      <c r="Y805" s="41">
        <f t="shared" si="793"/>
        <v>0</v>
      </c>
      <c r="Z805" s="41">
        <f t="shared" si="794"/>
        <v>0</v>
      </c>
      <c r="AA805" s="41">
        <f t="shared" si="795"/>
        <v>0</v>
      </c>
      <c r="AB805" s="41">
        <f t="shared" si="796"/>
        <v>0</v>
      </c>
      <c r="AC805" s="41">
        <f t="shared" si="797"/>
        <v>0</v>
      </c>
      <c r="AD805" s="31"/>
      <c r="AE805" s="21">
        <f t="shared" si="798"/>
        <v>0</v>
      </c>
      <c r="AF805" s="21">
        <f t="shared" si="799"/>
        <v>0</v>
      </c>
      <c r="AG805" s="21">
        <f t="shared" si="800"/>
        <v>0</v>
      </c>
      <c r="AI805" s="41">
        <v>21</v>
      </c>
      <c r="AJ805" s="41">
        <f t="shared" si="801"/>
        <v>0</v>
      </c>
      <c r="AK805" s="41">
        <f t="shared" si="802"/>
        <v>0</v>
      </c>
      <c r="AL805" s="42" t="s">
        <v>8</v>
      </c>
      <c r="AQ805" s="41">
        <f t="shared" si="803"/>
        <v>0</v>
      </c>
      <c r="AR805" s="41">
        <f t="shared" si="804"/>
        <v>0</v>
      </c>
      <c r="AS805" s="41">
        <f t="shared" si="805"/>
        <v>0</v>
      </c>
      <c r="AT805" s="44" t="s">
        <v>2471</v>
      </c>
      <c r="AU805" s="44" t="s">
        <v>2485</v>
      </c>
      <c r="AV805" s="31" t="s">
        <v>2486</v>
      </c>
      <c r="AX805" s="41">
        <f t="shared" si="806"/>
        <v>0</v>
      </c>
      <c r="AY805" s="41">
        <f t="shared" si="807"/>
        <v>0</v>
      </c>
      <c r="AZ805" s="41">
        <v>0</v>
      </c>
      <c r="BA805" s="41">
        <f t="shared" si="808"/>
        <v>0</v>
      </c>
      <c r="BC805" s="21">
        <f t="shared" si="809"/>
        <v>0</v>
      </c>
      <c r="BD805" s="21">
        <f t="shared" si="810"/>
        <v>0</v>
      </c>
      <c r="BE805" s="21">
        <f t="shared" si="811"/>
        <v>0</v>
      </c>
      <c r="BF805" s="21" t="s">
        <v>2492</v>
      </c>
      <c r="BG805" s="41" t="s">
        <v>1379</v>
      </c>
    </row>
    <row r="806" spans="1:59" x14ac:dyDescent="0.3">
      <c r="A806" s="4" t="s">
        <v>765</v>
      </c>
      <c r="B806" s="13"/>
      <c r="C806" s="13" t="s">
        <v>1383</v>
      </c>
      <c r="D806" s="101" t="s">
        <v>2182</v>
      </c>
      <c r="E806" s="102"/>
      <c r="F806" s="13" t="s">
        <v>2384</v>
      </c>
      <c r="G806" s="21">
        <v>29</v>
      </c>
      <c r="H806" s="21">
        <v>0</v>
      </c>
      <c r="I806" s="21">
        <f t="shared" si="786"/>
        <v>0</v>
      </c>
      <c r="J806" s="21">
        <f t="shared" si="787"/>
        <v>0</v>
      </c>
      <c r="K806" s="21">
        <f t="shared" si="788"/>
        <v>0</v>
      </c>
      <c r="L806" s="21">
        <v>0</v>
      </c>
      <c r="M806" s="21">
        <f t="shared" si="789"/>
        <v>0</v>
      </c>
      <c r="N806" s="35"/>
      <c r="O806" s="39"/>
      <c r="U806" s="41">
        <f t="shared" si="790"/>
        <v>0</v>
      </c>
      <c r="W806" s="41">
        <f t="shared" si="791"/>
        <v>0</v>
      </c>
      <c r="X806" s="41">
        <f t="shared" si="792"/>
        <v>0</v>
      </c>
      <c r="Y806" s="41">
        <f t="shared" si="793"/>
        <v>0</v>
      </c>
      <c r="Z806" s="41">
        <f t="shared" si="794"/>
        <v>0</v>
      </c>
      <c r="AA806" s="41">
        <f t="shared" si="795"/>
        <v>0</v>
      </c>
      <c r="AB806" s="41">
        <f t="shared" si="796"/>
        <v>0</v>
      </c>
      <c r="AC806" s="41">
        <f t="shared" si="797"/>
        <v>0</v>
      </c>
      <c r="AD806" s="31"/>
      <c r="AE806" s="21">
        <f t="shared" si="798"/>
        <v>0</v>
      </c>
      <c r="AF806" s="21">
        <f t="shared" si="799"/>
        <v>0</v>
      </c>
      <c r="AG806" s="21">
        <f t="shared" si="800"/>
        <v>0</v>
      </c>
      <c r="AI806" s="41">
        <v>21</v>
      </c>
      <c r="AJ806" s="41">
        <f t="shared" si="801"/>
        <v>0</v>
      </c>
      <c r="AK806" s="41">
        <f t="shared" si="802"/>
        <v>0</v>
      </c>
      <c r="AL806" s="42" t="s">
        <v>8</v>
      </c>
      <c r="AQ806" s="41">
        <f t="shared" si="803"/>
        <v>0</v>
      </c>
      <c r="AR806" s="41">
        <f t="shared" si="804"/>
        <v>0</v>
      </c>
      <c r="AS806" s="41">
        <f t="shared" si="805"/>
        <v>0</v>
      </c>
      <c r="AT806" s="44" t="s">
        <v>2471</v>
      </c>
      <c r="AU806" s="44" t="s">
        <v>2485</v>
      </c>
      <c r="AV806" s="31" t="s">
        <v>2486</v>
      </c>
      <c r="AX806" s="41">
        <f t="shared" si="806"/>
        <v>0</v>
      </c>
      <c r="AY806" s="41">
        <f t="shared" si="807"/>
        <v>0</v>
      </c>
      <c r="AZ806" s="41">
        <v>0</v>
      </c>
      <c r="BA806" s="41">
        <f t="shared" si="808"/>
        <v>0</v>
      </c>
      <c r="BC806" s="21">
        <f t="shared" si="809"/>
        <v>0</v>
      </c>
      <c r="BD806" s="21">
        <f t="shared" si="810"/>
        <v>0</v>
      </c>
      <c r="BE806" s="21">
        <f t="shared" si="811"/>
        <v>0</v>
      </c>
      <c r="BF806" s="21" t="s">
        <v>2492</v>
      </c>
      <c r="BG806" s="41" t="s">
        <v>1379</v>
      </c>
    </row>
    <row r="807" spans="1:59" x14ac:dyDescent="0.3">
      <c r="A807" s="4" t="s">
        <v>766</v>
      </c>
      <c r="B807" s="13"/>
      <c r="C807" s="13" t="s">
        <v>1384</v>
      </c>
      <c r="D807" s="101" t="s">
        <v>2183</v>
      </c>
      <c r="E807" s="102"/>
      <c r="F807" s="13" t="s">
        <v>2384</v>
      </c>
      <c r="G807" s="21">
        <v>10</v>
      </c>
      <c r="H807" s="21">
        <v>0</v>
      </c>
      <c r="I807" s="21">
        <f t="shared" si="786"/>
        <v>0</v>
      </c>
      <c r="J807" s="21">
        <f t="shared" si="787"/>
        <v>0</v>
      </c>
      <c r="K807" s="21">
        <f t="shared" si="788"/>
        <v>0</v>
      </c>
      <c r="L807" s="21">
        <v>0</v>
      </c>
      <c r="M807" s="21">
        <f t="shared" si="789"/>
        <v>0</v>
      </c>
      <c r="N807" s="35"/>
      <c r="O807" s="39"/>
      <c r="U807" s="41">
        <f t="shared" si="790"/>
        <v>0</v>
      </c>
      <c r="W807" s="41">
        <f t="shared" si="791"/>
        <v>0</v>
      </c>
      <c r="X807" s="41">
        <f t="shared" si="792"/>
        <v>0</v>
      </c>
      <c r="Y807" s="41">
        <f t="shared" si="793"/>
        <v>0</v>
      </c>
      <c r="Z807" s="41">
        <f t="shared" si="794"/>
        <v>0</v>
      </c>
      <c r="AA807" s="41">
        <f t="shared" si="795"/>
        <v>0</v>
      </c>
      <c r="AB807" s="41">
        <f t="shared" si="796"/>
        <v>0</v>
      </c>
      <c r="AC807" s="41">
        <f t="shared" si="797"/>
        <v>0</v>
      </c>
      <c r="AD807" s="31"/>
      <c r="AE807" s="21">
        <f t="shared" si="798"/>
        <v>0</v>
      </c>
      <c r="AF807" s="21">
        <f t="shared" si="799"/>
        <v>0</v>
      </c>
      <c r="AG807" s="21">
        <f t="shared" si="800"/>
        <v>0</v>
      </c>
      <c r="AI807" s="41">
        <v>21</v>
      </c>
      <c r="AJ807" s="41">
        <f t="shared" si="801"/>
        <v>0</v>
      </c>
      <c r="AK807" s="41">
        <f t="shared" si="802"/>
        <v>0</v>
      </c>
      <c r="AL807" s="42" t="s">
        <v>8</v>
      </c>
      <c r="AQ807" s="41">
        <f t="shared" si="803"/>
        <v>0</v>
      </c>
      <c r="AR807" s="41">
        <f t="shared" si="804"/>
        <v>0</v>
      </c>
      <c r="AS807" s="41">
        <f t="shared" si="805"/>
        <v>0</v>
      </c>
      <c r="AT807" s="44" t="s">
        <v>2471</v>
      </c>
      <c r="AU807" s="44" t="s">
        <v>2485</v>
      </c>
      <c r="AV807" s="31" t="s">
        <v>2486</v>
      </c>
      <c r="AX807" s="41">
        <f t="shared" si="806"/>
        <v>0</v>
      </c>
      <c r="AY807" s="41">
        <f t="shared" si="807"/>
        <v>0</v>
      </c>
      <c r="AZ807" s="41">
        <v>0</v>
      </c>
      <c r="BA807" s="41">
        <f t="shared" si="808"/>
        <v>0</v>
      </c>
      <c r="BC807" s="21">
        <f t="shared" si="809"/>
        <v>0</v>
      </c>
      <c r="BD807" s="21">
        <f t="shared" si="810"/>
        <v>0</v>
      </c>
      <c r="BE807" s="21">
        <f t="shared" si="811"/>
        <v>0</v>
      </c>
      <c r="BF807" s="21" t="s">
        <v>2492</v>
      </c>
      <c r="BG807" s="41" t="s">
        <v>1379</v>
      </c>
    </row>
    <row r="808" spans="1:59" x14ac:dyDescent="0.3">
      <c r="A808" s="4" t="s">
        <v>767</v>
      </c>
      <c r="B808" s="13"/>
      <c r="C808" s="13" t="s">
        <v>1385</v>
      </c>
      <c r="D808" s="101" t="s">
        <v>2184</v>
      </c>
      <c r="E808" s="102"/>
      <c r="F808" s="13" t="s">
        <v>2384</v>
      </c>
      <c r="G808" s="21">
        <v>26</v>
      </c>
      <c r="H808" s="21">
        <v>0</v>
      </c>
      <c r="I808" s="21">
        <f t="shared" si="786"/>
        <v>0</v>
      </c>
      <c r="J808" s="21">
        <f t="shared" si="787"/>
        <v>0</v>
      </c>
      <c r="K808" s="21">
        <f t="shared" si="788"/>
        <v>0</v>
      </c>
      <c r="L808" s="21">
        <v>0</v>
      </c>
      <c r="M808" s="21">
        <f t="shared" si="789"/>
        <v>0</v>
      </c>
      <c r="N808" s="35"/>
      <c r="O808" s="39"/>
      <c r="U808" s="41">
        <f t="shared" si="790"/>
        <v>0</v>
      </c>
      <c r="W808" s="41">
        <f t="shared" si="791"/>
        <v>0</v>
      </c>
      <c r="X808" s="41">
        <f t="shared" si="792"/>
        <v>0</v>
      </c>
      <c r="Y808" s="41">
        <f t="shared" si="793"/>
        <v>0</v>
      </c>
      <c r="Z808" s="41">
        <f t="shared" si="794"/>
        <v>0</v>
      </c>
      <c r="AA808" s="41">
        <f t="shared" si="795"/>
        <v>0</v>
      </c>
      <c r="AB808" s="41">
        <f t="shared" si="796"/>
        <v>0</v>
      </c>
      <c r="AC808" s="41">
        <f t="shared" si="797"/>
        <v>0</v>
      </c>
      <c r="AD808" s="31"/>
      <c r="AE808" s="21">
        <f t="shared" si="798"/>
        <v>0</v>
      </c>
      <c r="AF808" s="21">
        <f t="shared" si="799"/>
        <v>0</v>
      </c>
      <c r="AG808" s="21">
        <f t="shared" si="800"/>
        <v>0</v>
      </c>
      <c r="AI808" s="41">
        <v>21</v>
      </c>
      <c r="AJ808" s="41">
        <f t="shared" si="801"/>
        <v>0</v>
      </c>
      <c r="AK808" s="41">
        <f t="shared" si="802"/>
        <v>0</v>
      </c>
      <c r="AL808" s="42" t="s">
        <v>8</v>
      </c>
      <c r="AQ808" s="41">
        <f t="shared" si="803"/>
        <v>0</v>
      </c>
      <c r="AR808" s="41">
        <f t="shared" si="804"/>
        <v>0</v>
      </c>
      <c r="AS808" s="41">
        <f t="shared" si="805"/>
        <v>0</v>
      </c>
      <c r="AT808" s="44" t="s">
        <v>2471</v>
      </c>
      <c r="AU808" s="44" t="s">
        <v>2485</v>
      </c>
      <c r="AV808" s="31" t="s">
        <v>2486</v>
      </c>
      <c r="AX808" s="41">
        <f t="shared" si="806"/>
        <v>0</v>
      </c>
      <c r="AY808" s="41">
        <f t="shared" si="807"/>
        <v>0</v>
      </c>
      <c r="AZ808" s="41">
        <v>0</v>
      </c>
      <c r="BA808" s="41">
        <f t="shared" si="808"/>
        <v>0</v>
      </c>
      <c r="BC808" s="21">
        <f t="shared" si="809"/>
        <v>0</v>
      </c>
      <c r="BD808" s="21">
        <f t="shared" si="810"/>
        <v>0</v>
      </c>
      <c r="BE808" s="21">
        <f t="shared" si="811"/>
        <v>0</v>
      </c>
      <c r="BF808" s="21" t="s">
        <v>2492</v>
      </c>
      <c r="BG808" s="41" t="s">
        <v>1379</v>
      </c>
    </row>
    <row r="809" spans="1:59" x14ac:dyDescent="0.3">
      <c r="A809" s="4" t="s">
        <v>768</v>
      </c>
      <c r="B809" s="13"/>
      <c r="C809" s="13" t="s">
        <v>1386</v>
      </c>
      <c r="D809" s="101" t="s">
        <v>2185</v>
      </c>
      <c r="E809" s="102"/>
      <c r="F809" s="13" t="s">
        <v>2384</v>
      </c>
      <c r="G809" s="21">
        <v>19</v>
      </c>
      <c r="H809" s="21">
        <v>0</v>
      </c>
      <c r="I809" s="21">
        <f t="shared" si="786"/>
        <v>0</v>
      </c>
      <c r="J809" s="21">
        <f t="shared" si="787"/>
        <v>0</v>
      </c>
      <c r="K809" s="21">
        <f t="shared" si="788"/>
        <v>0</v>
      </c>
      <c r="L809" s="21">
        <v>0</v>
      </c>
      <c r="M809" s="21">
        <f t="shared" si="789"/>
        <v>0</v>
      </c>
      <c r="N809" s="35"/>
      <c r="O809" s="39"/>
      <c r="U809" s="41">
        <f t="shared" si="790"/>
        <v>0</v>
      </c>
      <c r="W809" s="41">
        <f t="shared" si="791"/>
        <v>0</v>
      </c>
      <c r="X809" s="41">
        <f t="shared" si="792"/>
        <v>0</v>
      </c>
      <c r="Y809" s="41">
        <f t="shared" si="793"/>
        <v>0</v>
      </c>
      <c r="Z809" s="41">
        <f t="shared" si="794"/>
        <v>0</v>
      </c>
      <c r="AA809" s="41">
        <f t="shared" si="795"/>
        <v>0</v>
      </c>
      <c r="AB809" s="41">
        <f t="shared" si="796"/>
        <v>0</v>
      </c>
      <c r="AC809" s="41">
        <f t="shared" si="797"/>
        <v>0</v>
      </c>
      <c r="AD809" s="31"/>
      <c r="AE809" s="21">
        <f t="shared" si="798"/>
        <v>0</v>
      </c>
      <c r="AF809" s="21">
        <f t="shared" si="799"/>
        <v>0</v>
      </c>
      <c r="AG809" s="21">
        <f t="shared" si="800"/>
        <v>0</v>
      </c>
      <c r="AI809" s="41">
        <v>21</v>
      </c>
      <c r="AJ809" s="41">
        <f t="shared" si="801"/>
        <v>0</v>
      </c>
      <c r="AK809" s="41">
        <f t="shared" si="802"/>
        <v>0</v>
      </c>
      <c r="AL809" s="42" t="s">
        <v>8</v>
      </c>
      <c r="AQ809" s="41">
        <f t="shared" si="803"/>
        <v>0</v>
      </c>
      <c r="AR809" s="41">
        <f t="shared" si="804"/>
        <v>0</v>
      </c>
      <c r="AS809" s="41">
        <f t="shared" si="805"/>
        <v>0</v>
      </c>
      <c r="AT809" s="44" t="s">
        <v>2471</v>
      </c>
      <c r="AU809" s="44" t="s">
        <v>2485</v>
      </c>
      <c r="AV809" s="31" t="s">
        <v>2486</v>
      </c>
      <c r="AX809" s="41">
        <f t="shared" si="806"/>
        <v>0</v>
      </c>
      <c r="AY809" s="41">
        <f t="shared" si="807"/>
        <v>0</v>
      </c>
      <c r="AZ809" s="41">
        <v>0</v>
      </c>
      <c r="BA809" s="41">
        <f t="shared" si="808"/>
        <v>0</v>
      </c>
      <c r="BC809" s="21">
        <f t="shared" si="809"/>
        <v>0</v>
      </c>
      <c r="BD809" s="21">
        <f t="shared" si="810"/>
        <v>0</v>
      </c>
      <c r="BE809" s="21">
        <f t="shared" si="811"/>
        <v>0</v>
      </c>
      <c r="BF809" s="21" t="s">
        <v>2492</v>
      </c>
      <c r="BG809" s="41" t="s">
        <v>1379</v>
      </c>
    </row>
    <row r="810" spans="1:59" x14ac:dyDescent="0.3">
      <c r="A810" s="4" t="s">
        <v>769</v>
      </c>
      <c r="B810" s="13"/>
      <c r="C810" s="13" t="s">
        <v>1387</v>
      </c>
      <c r="D810" s="101" t="s">
        <v>2186</v>
      </c>
      <c r="E810" s="102"/>
      <c r="F810" s="13" t="s">
        <v>2384</v>
      </c>
      <c r="G810" s="21">
        <v>5</v>
      </c>
      <c r="H810" s="21">
        <v>0</v>
      </c>
      <c r="I810" s="21">
        <f t="shared" si="786"/>
        <v>0</v>
      </c>
      <c r="J810" s="21">
        <f t="shared" si="787"/>
        <v>0</v>
      </c>
      <c r="K810" s="21">
        <f t="shared" si="788"/>
        <v>0</v>
      </c>
      <c r="L810" s="21">
        <v>0</v>
      </c>
      <c r="M810" s="21">
        <f t="shared" si="789"/>
        <v>0</v>
      </c>
      <c r="N810" s="35"/>
      <c r="O810" s="39"/>
      <c r="U810" s="41">
        <f t="shared" si="790"/>
        <v>0</v>
      </c>
      <c r="W810" s="41">
        <f t="shared" si="791"/>
        <v>0</v>
      </c>
      <c r="X810" s="41">
        <f t="shared" si="792"/>
        <v>0</v>
      </c>
      <c r="Y810" s="41">
        <f t="shared" si="793"/>
        <v>0</v>
      </c>
      <c r="Z810" s="41">
        <f t="shared" si="794"/>
        <v>0</v>
      </c>
      <c r="AA810" s="41">
        <f t="shared" si="795"/>
        <v>0</v>
      </c>
      <c r="AB810" s="41">
        <f t="shared" si="796"/>
        <v>0</v>
      </c>
      <c r="AC810" s="41">
        <f t="shared" si="797"/>
        <v>0</v>
      </c>
      <c r="AD810" s="31"/>
      <c r="AE810" s="21">
        <f t="shared" si="798"/>
        <v>0</v>
      </c>
      <c r="AF810" s="21">
        <f t="shared" si="799"/>
        <v>0</v>
      </c>
      <c r="AG810" s="21">
        <f t="shared" si="800"/>
        <v>0</v>
      </c>
      <c r="AI810" s="41">
        <v>21</v>
      </c>
      <c r="AJ810" s="41">
        <f t="shared" si="801"/>
        <v>0</v>
      </c>
      <c r="AK810" s="41">
        <f t="shared" si="802"/>
        <v>0</v>
      </c>
      <c r="AL810" s="42" t="s">
        <v>8</v>
      </c>
      <c r="AQ810" s="41">
        <f t="shared" si="803"/>
        <v>0</v>
      </c>
      <c r="AR810" s="41">
        <f t="shared" si="804"/>
        <v>0</v>
      </c>
      <c r="AS810" s="41">
        <f t="shared" si="805"/>
        <v>0</v>
      </c>
      <c r="AT810" s="44" t="s">
        <v>2471</v>
      </c>
      <c r="AU810" s="44" t="s">
        <v>2485</v>
      </c>
      <c r="AV810" s="31" t="s">
        <v>2486</v>
      </c>
      <c r="AX810" s="41">
        <f t="shared" si="806"/>
        <v>0</v>
      </c>
      <c r="AY810" s="41">
        <f t="shared" si="807"/>
        <v>0</v>
      </c>
      <c r="AZ810" s="41">
        <v>0</v>
      </c>
      <c r="BA810" s="41">
        <f t="shared" si="808"/>
        <v>0</v>
      </c>
      <c r="BC810" s="21">
        <f t="shared" si="809"/>
        <v>0</v>
      </c>
      <c r="BD810" s="21">
        <f t="shared" si="810"/>
        <v>0</v>
      </c>
      <c r="BE810" s="21">
        <f t="shared" si="811"/>
        <v>0</v>
      </c>
      <c r="BF810" s="21" t="s">
        <v>2492</v>
      </c>
      <c r="BG810" s="41" t="s">
        <v>1379</v>
      </c>
    </row>
    <row r="811" spans="1:59" x14ac:dyDescent="0.3">
      <c r="A811" s="4" t="s">
        <v>770</v>
      </c>
      <c r="B811" s="13"/>
      <c r="C811" s="13" t="s">
        <v>1388</v>
      </c>
      <c r="D811" s="101" t="s">
        <v>2187</v>
      </c>
      <c r="E811" s="102"/>
      <c r="F811" s="13" t="s">
        <v>2384</v>
      </c>
      <c r="G811" s="21">
        <v>31</v>
      </c>
      <c r="H811" s="21">
        <v>0</v>
      </c>
      <c r="I811" s="21">
        <f t="shared" si="786"/>
        <v>0</v>
      </c>
      <c r="J811" s="21">
        <f t="shared" si="787"/>
        <v>0</v>
      </c>
      <c r="K811" s="21">
        <f t="shared" si="788"/>
        <v>0</v>
      </c>
      <c r="L811" s="21">
        <v>0</v>
      </c>
      <c r="M811" s="21">
        <f t="shared" si="789"/>
        <v>0</v>
      </c>
      <c r="N811" s="35"/>
      <c r="O811" s="39"/>
      <c r="U811" s="41">
        <f t="shared" si="790"/>
        <v>0</v>
      </c>
      <c r="W811" s="41">
        <f t="shared" si="791"/>
        <v>0</v>
      </c>
      <c r="X811" s="41">
        <f t="shared" si="792"/>
        <v>0</v>
      </c>
      <c r="Y811" s="41">
        <f t="shared" si="793"/>
        <v>0</v>
      </c>
      <c r="Z811" s="41">
        <f t="shared" si="794"/>
        <v>0</v>
      </c>
      <c r="AA811" s="41">
        <f t="shared" si="795"/>
        <v>0</v>
      </c>
      <c r="AB811" s="41">
        <f t="shared" si="796"/>
        <v>0</v>
      </c>
      <c r="AC811" s="41">
        <f t="shared" si="797"/>
        <v>0</v>
      </c>
      <c r="AD811" s="31"/>
      <c r="AE811" s="21">
        <f t="shared" si="798"/>
        <v>0</v>
      </c>
      <c r="AF811" s="21">
        <f t="shared" si="799"/>
        <v>0</v>
      </c>
      <c r="AG811" s="21">
        <f t="shared" si="800"/>
        <v>0</v>
      </c>
      <c r="AI811" s="41">
        <v>21</v>
      </c>
      <c r="AJ811" s="41">
        <f t="shared" si="801"/>
        <v>0</v>
      </c>
      <c r="AK811" s="41">
        <f t="shared" si="802"/>
        <v>0</v>
      </c>
      <c r="AL811" s="42" t="s">
        <v>8</v>
      </c>
      <c r="AQ811" s="41">
        <f t="shared" si="803"/>
        <v>0</v>
      </c>
      <c r="AR811" s="41">
        <f t="shared" si="804"/>
        <v>0</v>
      </c>
      <c r="AS811" s="41">
        <f t="shared" si="805"/>
        <v>0</v>
      </c>
      <c r="AT811" s="44" t="s">
        <v>2471</v>
      </c>
      <c r="AU811" s="44" t="s">
        <v>2485</v>
      </c>
      <c r="AV811" s="31" t="s">
        <v>2486</v>
      </c>
      <c r="AX811" s="41">
        <f t="shared" si="806"/>
        <v>0</v>
      </c>
      <c r="AY811" s="41">
        <f t="shared" si="807"/>
        <v>0</v>
      </c>
      <c r="AZ811" s="41">
        <v>0</v>
      </c>
      <c r="BA811" s="41">
        <f t="shared" si="808"/>
        <v>0</v>
      </c>
      <c r="BC811" s="21">
        <f t="shared" si="809"/>
        <v>0</v>
      </c>
      <c r="BD811" s="21">
        <f t="shared" si="810"/>
        <v>0</v>
      </c>
      <c r="BE811" s="21">
        <f t="shared" si="811"/>
        <v>0</v>
      </c>
      <c r="BF811" s="21" t="s">
        <v>2492</v>
      </c>
      <c r="BG811" s="41" t="s">
        <v>1379</v>
      </c>
    </row>
    <row r="812" spans="1:59" x14ac:dyDescent="0.3">
      <c r="A812" s="4" t="s">
        <v>771</v>
      </c>
      <c r="B812" s="13"/>
      <c r="C812" s="13" t="s">
        <v>1389</v>
      </c>
      <c r="D812" s="101" t="s">
        <v>2188</v>
      </c>
      <c r="E812" s="102"/>
      <c r="F812" s="13" t="s">
        <v>2384</v>
      </c>
      <c r="G812" s="21">
        <v>31</v>
      </c>
      <c r="H812" s="21">
        <v>0</v>
      </c>
      <c r="I812" s="21">
        <f t="shared" si="786"/>
        <v>0</v>
      </c>
      <c r="J812" s="21">
        <f t="shared" si="787"/>
        <v>0</v>
      </c>
      <c r="K812" s="21">
        <f t="shared" si="788"/>
        <v>0</v>
      </c>
      <c r="L812" s="21">
        <v>0</v>
      </c>
      <c r="M812" s="21">
        <f t="shared" si="789"/>
        <v>0</v>
      </c>
      <c r="N812" s="35"/>
      <c r="O812" s="39"/>
      <c r="U812" s="41">
        <f t="shared" si="790"/>
        <v>0</v>
      </c>
      <c r="W812" s="41">
        <f t="shared" si="791"/>
        <v>0</v>
      </c>
      <c r="X812" s="41">
        <f t="shared" si="792"/>
        <v>0</v>
      </c>
      <c r="Y812" s="41">
        <f t="shared" si="793"/>
        <v>0</v>
      </c>
      <c r="Z812" s="41">
        <f t="shared" si="794"/>
        <v>0</v>
      </c>
      <c r="AA812" s="41">
        <f t="shared" si="795"/>
        <v>0</v>
      </c>
      <c r="AB812" s="41">
        <f t="shared" si="796"/>
        <v>0</v>
      </c>
      <c r="AC812" s="41">
        <f t="shared" si="797"/>
        <v>0</v>
      </c>
      <c r="AD812" s="31"/>
      <c r="AE812" s="21">
        <f t="shared" si="798"/>
        <v>0</v>
      </c>
      <c r="AF812" s="21">
        <f t="shared" si="799"/>
        <v>0</v>
      </c>
      <c r="AG812" s="21">
        <f t="shared" si="800"/>
        <v>0</v>
      </c>
      <c r="AI812" s="41">
        <v>21</v>
      </c>
      <c r="AJ812" s="41">
        <f t="shared" si="801"/>
        <v>0</v>
      </c>
      <c r="AK812" s="41">
        <f t="shared" si="802"/>
        <v>0</v>
      </c>
      <c r="AL812" s="42" t="s">
        <v>8</v>
      </c>
      <c r="AQ812" s="41">
        <f t="shared" si="803"/>
        <v>0</v>
      </c>
      <c r="AR812" s="41">
        <f t="shared" si="804"/>
        <v>0</v>
      </c>
      <c r="AS812" s="41">
        <f t="shared" si="805"/>
        <v>0</v>
      </c>
      <c r="AT812" s="44" t="s">
        <v>2471</v>
      </c>
      <c r="AU812" s="44" t="s">
        <v>2485</v>
      </c>
      <c r="AV812" s="31" t="s">
        <v>2486</v>
      </c>
      <c r="AX812" s="41">
        <f t="shared" si="806"/>
        <v>0</v>
      </c>
      <c r="AY812" s="41">
        <f t="shared" si="807"/>
        <v>0</v>
      </c>
      <c r="AZ812" s="41">
        <v>0</v>
      </c>
      <c r="BA812" s="41">
        <f t="shared" si="808"/>
        <v>0</v>
      </c>
      <c r="BC812" s="21">
        <f t="shared" si="809"/>
        <v>0</v>
      </c>
      <c r="BD812" s="21">
        <f t="shared" si="810"/>
        <v>0</v>
      </c>
      <c r="BE812" s="21">
        <f t="shared" si="811"/>
        <v>0</v>
      </c>
      <c r="BF812" s="21" t="s">
        <v>2492</v>
      </c>
      <c r="BG812" s="41" t="s">
        <v>1379</v>
      </c>
    </row>
    <row r="813" spans="1:59" x14ac:dyDescent="0.3">
      <c r="A813" s="4" t="s">
        <v>772</v>
      </c>
      <c r="B813" s="13"/>
      <c r="C813" s="13" t="s">
        <v>1390</v>
      </c>
      <c r="D813" s="101" t="s">
        <v>2189</v>
      </c>
      <c r="E813" s="102"/>
      <c r="F813" s="13" t="s">
        <v>2384</v>
      </c>
      <c r="G813" s="21">
        <v>31</v>
      </c>
      <c r="H813" s="21">
        <v>0</v>
      </c>
      <c r="I813" s="21">
        <f t="shared" si="786"/>
        <v>0</v>
      </c>
      <c r="J813" s="21">
        <f t="shared" si="787"/>
        <v>0</v>
      </c>
      <c r="K813" s="21">
        <f t="shared" si="788"/>
        <v>0</v>
      </c>
      <c r="L813" s="21">
        <v>0</v>
      </c>
      <c r="M813" s="21">
        <f t="shared" si="789"/>
        <v>0</v>
      </c>
      <c r="N813" s="35"/>
      <c r="O813" s="39"/>
      <c r="U813" s="41">
        <f t="shared" si="790"/>
        <v>0</v>
      </c>
      <c r="W813" s="41">
        <f t="shared" si="791"/>
        <v>0</v>
      </c>
      <c r="X813" s="41">
        <f t="shared" si="792"/>
        <v>0</v>
      </c>
      <c r="Y813" s="41">
        <f t="shared" si="793"/>
        <v>0</v>
      </c>
      <c r="Z813" s="41">
        <f t="shared" si="794"/>
        <v>0</v>
      </c>
      <c r="AA813" s="41">
        <f t="shared" si="795"/>
        <v>0</v>
      </c>
      <c r="AB813" s="41">
        <f t="shared" si="796"/>
        <v>0</v>
      </c>
      <c r="AC813" s="41">
        <f t="shared" si="797"/>
        <v>0</v>
      </c>
      <c r="AD813" s="31"/>
      <c r="AE813" s="21">
        <f t="shared" si="798"/>
        <v>0</v>
      </c>
      <c r="AF813" s="21">
        <f t="shared" si="799"/>
        <v>0</v>
      </c>
      <c r="AG813" s="21">
        <f t="shared" si="800"/>
        <v>0</v>
      </c>
      <c r="AI813" s="41">
        <v>21</v>
      </c>
      <c r="AJ813" s="41">
        <f t="shared" si="801"/>
        <v>0</v>
      </c>
      <c r="AK813" s="41">
        <f t="shared" si="802"/>
        <v>0</v>
      </c>
      <c r="AL813" s="42" t="s">
        <v>8</v>
      </c>
      <c r="AQ813" s="41">
        <f t="shared" si="803"/>
        <v>0</v>
      </c>
      <c r="AR813" s="41">
        <f t="shared" si="804"/>
        <v>0</v>
      </c>
      <c r="AS813" s="41">
        <f t="shared" si="805"/>
        <v>0</v>
      </c>
      <c r="AT813" s="44" t="s">
        <v>2471</v>
      </c>
      <c r="AU813" s="44" t="s">
        <v>2485</v>
      </c>
      <c r="AV813" s="31" t="s">
        <v>2486</v>
      </c>
      <c r="AX813" s="41">
        <f t="shared" si="806"/>
        <v>0</v>
      </c>
      <c r="AY813" s="41">
        <f t="shared" si="807"/>
        <v>0</v>
      </c>
      <c r="AZ813" s="41">
        <v>0</v>
      </c>
      <c r="BA813" s="41">
        <f t="shared" si="808"/>
        <v>0</v>
      </c>
      <c r="BC813" s="21">
        <f t="shared" si="809"/>
        <v>0</v>
      </c>
      <c r="BD813" s="21">
        <f t="shared" si="810"/>
        <v>0</v>
      </c>
      <c r="BE813" s="21">
        <f t="shared" si="811"/>
        <v>0</v>
      </c>
      <c r="BF813" s="21" t="s">
        <v>2492</v>
      </c>
      <c r="BG813" s="41" t="s">
        <v>1379</v>
      </c>
    </row>
    <row r="814" spans="1:59" x14ac:dyDescent="0.3">
      <c r="A814" s="4" t="s">
        <v>773</v>
      </c>
      <c r="B814" s="13"/>
      <c r="C814" s="13" t="s">
        <v>1391</v>
      </c>
      <c r="D814" s="101" t="s">
        <v>2190</v>
      </c>
      <c r="E814" s="102"/>
      <c r="F814" s="13" t="s">
        <v>2384</v>
      </c>
      <c r="G814" s="21">
        <v>31</v>
      </c>
      <c r="H814" s="21">
        <v>0</v>
      </c>
      <c r="I814" s="21">
        <f t="shared" si="786"/>
        <v>0</v>
      </c>
      <c r="J814" s="21">
        <f t="shared" si="787"/>
        <v>0</v>
      </c>
      <c r="K814" s="21">
        <f t="shared" si="788"/>
        <v>0</v>
      </c>
      <c r="L814" s="21">
        <v>0</v>
      </c>
      <c r="M814" s="21">
        <f t="shared" si="789"/>
        <v>0</v>
      </c>
      <c r="N814" s="35"/>
      <c r="O814" s="39"/>
      <c r="U814" s="41">
        <f t="shared" si="790"/>
        <v>0</v>
      </c>
      <c r="W814" s="41">
        <f t="shared" si="791"/>
        <v>0</v>
      </c>
      <c r="X814" s="41">
        <f t="shared" si="792"/>
        <v>0</v>
      </c>
      <c r="Y814" s="41">
        <f t="shared" si="793"/>
        <v>0</v>
      </c>
      <c r="Z814" s="41">
        <f t="shared" si="794"/>
        <v>0</v>
      </c>
      <c r="AA814" s="41">
        <f t="shared" si="795"/>
        <v>0</v>
      </c>
      <c r="AB814" s="41">
        <f t="shared" si="796"/>
        <v>0</v>
      </c>
      <c r="AC814" s="41">
        <f t="shared" si="797"/>
        <v>0</v>
      </c>
      <c r="AD814" s="31"/>
      <c r="AE814" s="21">
        <f t="shared" si="798"/>
        <v>0</v>
      </c>
      <c r="AF814" s="21">
        <f t="shared" si="799"/>
        <v>0</v>
      </c>
      <c r="AG814" s="21">
        <f t="shared" si="800"/>
        <v>0</v>
      </c>
      <c r="AI814" s="41">
        <v>21</v>
      </c>
      <c r="AJ814" s="41">
        <f t="shared" si="801"/>
        <v>0</v>
      </c>
      <c r="AK814" s="41">
        <f t="shared" si="802"/>
        <v>0</v>
      </c>
      <c r="AL814" s="42" t="s">
        <v>8</v>
      </c>
      <c r="AQ814" s="41">
        <f t="shared" si="803"/>
        <v>0</v>
      </c>
      <c r="AR814" s="41">
        <f t="shared" si="804"/>
        <v>0</v>
      </c>
      <c r="AS814" s="41">
        <f t="shared" si="805"/>
        <v>0</v>
      </c>
      <c r="AT814" s="44" t="s">
        <v>2471</v>
      </c>
      <c r="AU814" s="44" t="s">
        <v>2485</v>
      </c>
      <c r="AV814" s="31" t="s">
        <v>2486</v>
      </c>
      <c r="AX814" s="41">
        <f t="shared" si="806"/>
        <v>0</v>
      </c>
      <c r="AY814" s="41">
        <f t="shared" si="807"/>
        <v>0</v>
      </c>
      <c r="AZ814" s="41">
        <v>0</v>
      </c>
      <c r="BA814" s="41">
        <f t="shared" si="808"/>
        <v>0</v>
      </c>
      <c r="BC814" s="21">
        <f t="shared" si="809"/>
        <v>0</v>
      </c>
      <c r="BD814" s="21">
        <f t="shared" si="810"/>
        <v>0</v>
      </c>
      <c r="BE814" s="21">
        <f t="shared" si="811"/>
        <v>0</v>
      </c>
      <c r="BF814" s="21" t="s">
        <v>2492</v>
      </c>
      <c r="BG814" s="41" t="s">
        <v>1379</v>
      </c>
    </row>
    <row r="815" spans="1:59" x14ac:dyDescent="0.3">
      <c r="A815" s="4" t="s">
        <v>774</v>
      </c>
      <c r="B815" s="13"/>
      <c r="C815" s="13" t="s">
        <v>1392</v>
      </c>
      <c r="D815" s="101" t="s">
        <v>2191</v>
      </c>
      <c r="E815" s="102"/>
      <c r="F815" s="13" t="s">
        <v>2384</v>
      </c>
      <c r="G815" s="21">
        <v>62</v>
      </c>
      <c r="H815" s="21">
        <v>0</v>
      </c>
      <c r="I815" s="21">
        <f t="shared" si="786"/>
        <v>0</v>
      </c>
      <c r="J815" s="21">
        <f t="shared" si="787"/>
        <v>0</v>
      </c>
      <c r="K815" s="21">
        <f t="shared" si="788"/>
        <v>0</v>
      </c>
      <c r="L815" s="21">
        <v>0</v>
      </c>
      <c r="M815" s="21">
        <f t="shared" si="789"/>
        <v>0</v>
      </c>
      <c r="N815" s="35"/>
      <c r="O815" s="39"/>
      <c r="U815" s="41">
        <f t="shared" si="790"/>
        <v>0</v>
      </c>
      <c r="W815" s="41">
        <f t="shared" si="791"/>
        <v>0</v>
      </c>
      <c r="X815" s="41">
        <f t="shared" si="792"/>
        <v>0</v>
      </c>
      <c r="Y815" s="41">
        <f t="shared" si="793"/>
        <v>0</v>
      </c>
      <c r="Z815" s="41">
        <f t="shared" si="794"/>
        <v>0</v>
      </c>
      <c r="AA815" s="41">
        <f t="shared" si="795"/>
        <v>0</v>
      </c>
      <c r="AB815" s="41">
        <f t="shared" si="796"/>
        <v>0</v>
      </c>
      <c r="AC815" s="41">
        <f t="shared" si="797"/>
        <v>0</v>
      </c>
      <c r="AD815" s="31"/>
      <c r="AE815" s="21">
        <f t="shared" si="798"/>
        <v>0</v>
      </c>
      <c r="AF815" s="21">
        <f t="shared" si="799"/>
        <v>0</v>
      </c>
      <c r="AG815" s="21">
        <f t="shared" si="800"/>
        <v>0</v>
      </c>
      <c r="AI815" s="41">
        <v>21</v>
      </c>
      <c r="AJ815" s="41">
        <f t="shared" si="801"/>
        <v>0</v>
      </c>
      <c r="AK815" s="41">
        <f t="shared" si="802"/>
        <v>0</v>
      </c>
      <c r="AL815" s="42" t="s">
        <v>8</v>
      </c>
      <c r="AQ815" s="41">
        <f t="shared" si="803"/>
        <v>0</v>
      </c>
      <c r="AR815" s="41">
        <f t="shared" si="804"/>
        <v>0</v>
      </c>
      <c r="AS815" s="41">
        <f t="shared" si="805"/>
        <v>0</v>
      </c>
      <c r="AT815" s="44" t="s">
        <v>2471</v>
      </c>
      <c r="AU815" s="44" t="s">
        <v>2485</v>
      </c>
      <c r="AV815" s="31" t="s">
        <v>2486</v>
      </c>
      <c r="AX815" s="41">
        <f t="shared" si="806"/>
        <v>0</v>
      </c>
      <c r="AY815" s="41">
        <f t="shared" si="807"/>
        <v>0</v>
      </c>
      <c r="AZ815" s="41">
        <v>0</v>
      </c>
      <c r="BA815" s="41">
        <f t="shared" si="808"/>
        <v>0</v>
      </c>
      <c r="BC815" s="21">
        <f t="shared" si="809"/>
        <v>0</v>
      </c>
      <c r="BD815" s="21">
        <f t="shared" si="810"/>
        <v>0</v>
      </c>
      <c r="BE815" s="21">
        <f t="shared" si="811"/>
        <v>0</v>
      </c>
      <c r="BF815" s="21" t="s">
        <v>2492</v>
      </c>
      <c r="BG815" s="41" t="s">
        <v>1379</v>
      </c>
    </row>
    <row r="816" spans="1:59" x14ac:dyDescent="0.3">
      <c r="A816" s="4" t="s">
        <v>775</v>
      </c>
      <c r="B816" s="13"/>
      <c r="C816" s="13" t="s">
        <v>1393</v>
      </c>
      <c r="D816" s="101" t="s">
        <v>2192</v>
      </c>
      <c r="E816" s="102"/>
      <c r="F816" s="13" t="s">
        <v>2384</v>
      </c>
      <c r="G816" s="21">
        <v>21</v>
      </c>
      <c r="H816" s="21">
        <v>0</v>
      </c>
      <c r="I816" s="21">
        <f t="shared" si="786"/>
        <v>0</v>
      </c>
      <c r="J816" s="21">
        <f t="shared" si="787"/>
        <v>0</v>
      </c>
      <c r="K816" s="21">
        <f t="shared" si="788"/>
        <v>0</v>
      </c>
      <c r="L816" s="21">
        <v>0</v>
      </c>
      <c r="M816" s="21">
        <f t="shared" si="789"/>
        <v>0</v>
      </c>
      <c r="N816" s="35"/>
      <c r="O816" s="39"/>
      <c r="U816" s="41">
        <f t="shared" si="790"/>
        <v>0</v>
      </c>
      <c r="W816" s="41">
        <f t="shared" si="791"/>
        <v>0</v>
      </c>
      <c r="X816" s="41">
        <f t="shared" si="792"/>
        <v>0</v>
      </c>
      <c r="Y816" s="41">
        <f t="shared" si="793"/>
        <v>0</v>
      </c>
      <c r="Z816" s="41">
        <f t="shared" si="794"/>
        <v>0</v>
      </c>
      <c r="AA816" s="41">
        <f t="shared" si="795"/>
        <v>0</v>
      </c>
      <c r="AB816" s="41">
        <f t="shared" si="796"/>
        <v>0</v>
      </c>
      <c r="AC816" s="41">
        <f t="shared" si="797"/>
        <v>0</v>
      </c>
      <c r="AD816" s="31"/>
      <c r="AE816" s="21">
        <f t="shared" si="798"/>
        <v>0</v>
      </c>
      <c r="AF816" s="21">
        <f t="shared" si="799"/>
        <v>0</v>
      </c>
      <c r="AG816" s="21">
        <f t="shared" si="800"/>
        <v>0</v>
      </c>
      <c r="AI816" s="41">
        <v>21</v>
      </c>
      <c r="AJ816" s="41">
        <f t="shared" si="801"/>
        <v>0</v>
      </c>
      <c r="AK816" s="41">
        <f t="shared" si="802"/>
        <v>0</v>
      </c>
      <c r="AL816" s="42" t="s">
        <v>8</v>
      </c>
      <c r="AQ816" s="41">
        <f t="shared" si="803"/>
        <v>0</v>
      </c>
      <c r="AR816" s="41">
        <f t="shared" si="804"/>
        <v>0</v>
      </c>
      <c r="AS816" s="41">
        <f t="shared" si="805"/>
        <v>0</v>
      </c>
      <c r="AT816" s="44" t="s">
        <v>2471</v>
      </c>
      <c r="AU816" s="44" t="s">
        <v>2485</v>
      </c>
      <c r="AV816" s="31" t="s">
        <v>2486</v>
      </c>
      <c r="AX816" s="41">
        <f t="shared" si="806"/>
        <v>0</v>
      </c>
      <c r="AY816" s="41">
        <f t="shared" si="807"/>
        <v>0</v>
      </c>
      <c r="AZ816" s="41">
        <v>0</v>
      </c>
      <c r="BA816" s="41">
        <f t="shared" si="808"/>
        <v>0</v>
      </c>
      <c r="BC816" s="21">
        <f t="shared" si="809"/>
        <v>0</v>
      </c>
      <c r="BD816" s="21">
        <f t="shared" si="810"/>
        <v>0</v>
      </c>
      <c r="BE816" s="21">
        <f t="shared" si="811"/>
        <v>0</v>
      </c>
      <c r="BF816" s="21" t="s">
        <v>2492</v>
      </c>
      <c r="BG816" s="41" t="s">
        <v>1379</v>
      </c>
    </row>
    <row r="817" spans="1:59" x14ac:dyDescent="0.3">
      <c r="A817" s="4" t="s">
        <v>776</v>
      </c>
      <c r="B817" s="13"/>
      <c r="C817" s="13" t="s">
        <v>1394</v>
      </c>
      <c r="D817" s="101" t="s">
        <v>2193</v>
      </c>
      <c r="E817" s="102"/>
      <c r="F817" s="13" t="s">
        <v>2384</v>
      </c>
      <c r="G817" s="21">
        <v>11</v>
      </c>
      <c r="H817" s="21">
        <v>0</v>
      </c>
      <c r="I817" s="21">
        <f t="shared" si="786"/>
        <v>0</v>
      </c>
      <c r="J817" s="21">
        <f t="shared" si="787"/>
        <v>0</v>
      </c>
      <c r="K817" s="21">
        <f t="shared" si="788"/>
        <v>0</v>
      </c>
      <c r="L817" s="21">
        <v>0</v>
      </c>
      <c r="M817" s="21">
        <f t="shared" si="789"/>
        <v>0</v>
      </c>
      <c r="N817" s="35"/>
      <c r="O817" s="39"/>
      <c r="U817" s="41">
        <f t="shared" si="790"/>
        <v>0</v>
      </c>
      <c r="W817" s="41">
        <f t="shared" si="791"/>
        <v>0</v>
      </c>
      <c r="X817" s="41">
        <f t="shared" si="792"/>
        <v>0</v>
      </c>
      <c r="Y817" s="41">
        <f t="shared" si="793"/>
        <v>0</v>
      </c>
      <c r="Z817" s="41">
        <f t="shared" si="794"/>
        <v>0</v>
      </c>
      <c r="AA817" s="41">
        <f t="shared" si="795"/>
        <v>0</v>
      </c>
      <c r="AB817" s="41">
        <f t="shared" si="796"/>
        <v>0</v>
      </c>
      <c r="AC817" s="41">
        <f t="shared" si="797"/>
        <v>0</v>
      </c>
      <c r="AD817" s="31"/>
      <c r="AE817" s="21">
        <f t="shared" si="798"/>
        <v>0</v>
      </c>
      <c r="AF817" s="21">
        <f t="shared" si="799"/>
        <v>0</v>
      </c>
      <c r="AG817" s="21">
        <f t="shared" si="800"/>
        <v>0</v>
      </c>
      <c r="AI817" s="41">
        <v>21</v>
      </c>
      <c r="AJ817" s="41">
        <f t="shared" si="801"/>
        <v>0</v>
      </c>
      <c r="AK817" s="41">
        <f t="shared" si="802"/>
        <v>0</v>
      </c>
      <c r="AL817" s="42" t="s">
        <v>8</v>
      </c>
      <c r="AQ817" s="41">
        <f t="shared" si="803"/>
        <v>0</v>
      </c>
      <c r="AR817" s="41">
        <f t="shared" si="804"/>
        <v>0</v>
      </c>
      <c r="AS817" s="41">
        <f t="shared" si="805"/>
        <v>0</v>
      </c>
      <c r="AT817" s="44" t="s">
        <v>2471</v>
      </c>
      <c r="AU817" s="44" t="s">
        <v>2485</v>
      </c>
      <c r="AV817" s="31" t="s">
        <v>2486</v>
      </c>
      <c r="AX817" s="41">
        <f t="shared" si="806"/>
        <v>0</v>
      </c>
      <c r="AY817" s="41">
        <f t="shared" si="807"/>
        <v>0</v>
      </c>
      <c r="AZ817" s="41">
        <v>0</v>
      </c>
      <c r="BA817" s="41">
        <f t="shared" si="808"/>
        <v>0</v>
      </c>
      <c r="BC817" s="21">
        <f t="shared" si="809"/>
        <v>0</v>
      </c>
      <c r="BD817" s="21">
        <f t="shared" si="810"/>
        <v>0</v>
      </c>
      <c r="BE817" s="21">
        <f t="shared" si="811"/>
        <v>0</v>
      </c>
      <c r="BF817" s="21" t="s">
        <v>2492</v>
      </c>
      <c r="BG817" s="41" t="s">
        <v>1379</v>
      </c>
    </row>
    <row r="818" spans="1:59" x14ac:dyDescent="0.3">
      <c r="A818" s="4" t="s">
        <v>777</v>
      </c>
      <c r="B818" s="13"/>
      <c r="C818" s="13" t="s">
        <v>1395</v>
      </c>
      <c r="D818" s="101" t="s">
        <v>2194</v>
      </c>
      <c r="E818" s="102"/>
      <c r="F818" s="13" t="s">
        <v>2384</v>
      </c>
      <c r="G818" s="21">
        <v>16</v>
      </c>
      <c r="H818" s="21">
        <v>0</v>
      </c>
      <c r="I818" s="21">
        <f t="shared" si="786"/>
        <v>0</v>
      </c>
      <c r="J818" s="21">
        <f t="shared" si="787"/>
        <v>0</v>
      </c>
      <c r="K818" s="21">
        <f t="shared" si="788"/>
        <v>0</v>
      </c>
      <c r="L818" s="21">
        <v>0</v>
      </c>
      <c r="M818" s="21">
        <f t="shared" si="789"/>
        <v>0</v>
      </c>
      <c r="N818" s="35"/>
      <c r="O818" s="39"/>
      <c r="U818" s="41">
        <f t="shared" si="790"/>
        <v>0</v>
      </c>
      <c r="W818" s="41">
        <f t="shared" si="791"/>
        <v>0</v>
      </c>
      <c r="X818" s="41">
        <f t="shared" si="792"/>
        <v>0</v>
      </c>
      <c r="Y818" s="41">
        <f t="shared" si="793"/>
        <v>0</v>
      </c>
      <c r="Z818" s="41">
        <f t="shared" si="794"/>
        <v>0</v>
      </c>
      <c r="AA818" s="41">
        <f t="shared" si="795"/>
        <v>0</v>
      </c>
      <c r="AB818" s="41">
        <f t="shared" si="796"/>
        <v>0</v>
      </c>
      <c r="AC818" s="41">
        <f t="shared" si="797"/>
        <v>0</v>
      </c>
      <c r="AD818" s="31"/>
      <c r="AE818" s="21">
        <f t="shared" si="798"/>
        <v>0</v>
      </c>
      <c r="AF818" s="21">
        <f t="shared" si="799"/>
        <v>0</v>
      </c>
      <c r="AG818" s="21">
        <f t="shared" si="800"/>
        <v>0</v>
      </c>
      <c r="AI818" s="41">
        <v>21</v>
      </c>
      <c r="AJ818" s="41">
        <f t="shared" si="801"/>
        <v>0</v>
      </c>
      <c r="AK818" s="41">
        <f t="shared" si="802"/>
        <v>0</v>
      </c>
      <c r="AL818" s="42" t="s">
        <v>8</v>
      </c>
      <c r="AQ818" s="41">
        <f t="shared" si="803"/>
        <v>0</v>
      </c>
      <c r="AR818" s="41">
        <f t="shared" si="804"/>
        <v>0</v>
      </c>
      <c r="AS818" s="41">
        <f t="shared" si="805"/>
        <v>0</v>
      </c>
      <c r="AT818" s="44" t="s">
        <v>2471</v>
      </c>
      <c r="AU818" s="44" t="s">
        <v>2485</v>
      </c>
      <c r="AV818" s="31" t="s">
        <v>2486</v>
      </c>
      <c r="AX818" s="41">
        <f t="shared" si="806"/>
        <v>0</v>
      </c>
      <c r="AY818" s="41">
        <f t="shared" si="807"/>
        <v>0</v>
      </c>
      <c r="AZ818" s="41">
        <v>0</v>
      </c>
      <c r="BA818" s="41">
        <f t="shared" si="808"/>
        <v>0</v>
      </c>
      <c r="BC818" s="21">
        <f t="shared" si="809"/>
        <v>0</v>
      </c>
      <c r="BD818" s="21">
        <f t="shared" si="810"/>
        <v>0</v>
      </c>
      <c r="BE818" s="21">
        <f t="shared" si="811"/>
        <v>0</v>
      </c>
      <c r="BF818" s="21" t="s">
        <v>2492</v>
      </c>
      <c r="BG818" s="41" t="s">
        <v>1379</v>
      </c>
    </row>
    <row r="819" spans="1:59" x14ac:dyDescent="0.3">
      <c r="A819" s="4" t="s">
        <v>778</v>
      </c>
      <c r="B819" s="13"/>
      <c r="C819" s="13" t="s">
        <v>1396</v>
      </c>
      <c r="D819" s="101" t="s">
        <v>2186</v>
      </c>
      <c r="E819" s="102"/>
      <c r="F819" s="13" t="s">
        <v>2384</v>
      </c>
      <c r="G819" s="21">
        <v>2</v>
      </c>
      <c r="H819" s="21">
        <v>0</v>
      </c>
      <c r="I819" s="21">
        <f t="shared" si="786"/>
        <v>0</v>
      </c>
      <c r="J819" s="21">
        <f t="shared" si="787"/>
        <v>0</v>
      </c>
      <c r="K819" s="21">
        <f t="shared" si="788"/>
        <v>0</v>
      </c>
      <c r="L819" s="21">
        <v>0</v>
      </c>
      <c r="M819" s="21">
        <f t="shared" si="789"/>
        <v>0</v>
      </c>
      <c r="N819" s="35"/>
      <c r="O819" s="39"/>
      <c r="U819" s="41">
        <f t="shared" si="790"/>
        <v>0</v>
      </c>
      <c r="W819" s="41">
        <f t="shared" si="791"/>
        <v>0</v>
      </c>
      <c r="X819" s="41">
        <f t="shared" si="792"/>
        <v>0</v>
      </c>
      <c r="Y819" s="41">
        <f t="shared" si="793"/>
        <v>0</v>
      </c>
      <c r="Z819" s="41">
        <f t="shared" si="794"/>
        <v>0</v>
      </c>
      <c r="AA819" s="41">
        <f t="shared" si="795"/>
        <v>0</v>
      </c>
      <c r="AB819" s="41">
        <f t="shared" si="796"/>
        <v>0</v>
      </c>
      <c r="AC819" s="41">
        <f t="shared" si="797"/>
        <v>0</v>
      </c>
      <c r="AD819" s="31"/>
      <c r="AE819" s="21">
        <f t="shared" si="798"/>
        <v>0</v>
      </c>
      <c r="AF819" s="21">
        <f t="shared" si="799"/>
        <v>0</v>
      </c>
      <c r="AG819" s="21">
        <f t="shared" si="800"/>
        <v>0</v>
      </c>
      <c r="AI819" s="41">
        <v>21</v>
      </c>
      <c r="AJ819" s="41">
        <f t="shared" si="801"/>
        <v>0</v>
      </c>
      <c r="AK819" s="41">
        <f t="shared" si="802"/>
        <v>0</v>
      </c>
      <c r="AL819" s="42" t="s">
        <v>8</v>
      </c>
      <c r="AQ819" s="41">
        <f t="shared" si="803"/>
        <v>0</v>
      </c>
      <c r="AR819" s="41">
        <f t="shared" si="804"/>
        <v>0</v>
      </c>
      <c r="AS819" s="41">
        <f t="shared" si="805"/>
        <v>0</v>
      </c>
      <c r="AT819" s="44" t="s">
        <v>2471</v>
      </c>
      <c r="AU819" s="44" t="s">
        <v>2485</v>
      </c>
      <c r="AV819" s="31" t="s">
        <v>2486</v>
      </c>
      <c r="AX819" s="41">
        <f t="shared" si="806"/>
        <v>0</v>
      </c>
      <c r="AY819" s="41">
        <f t="shared" si="807"/>
        <v>0</v>
      </c>
      <c r="AZ819" s="41">
        <v>0</v>
      </c>
      <c r="BA819" s="41">
        <f t="shared" si="808"/>
        <v>0</v>
      </c>
      <c r="BC819" s="21">
        <f t="shared" si="809"/>
        <v>0</v>
      </c>
      <c r="BD819" s="21">
        <f t="shared" si="810"/>
        <v>0</v>
      </c>
      <c r="BE819" s="21">
        <f t="shared" si="811"/>
        <v>0</v>
      </c>
      <c r="BF819" s="21" t="s">
        <v>2492</v>
      </c>
      <c r="BG819" s="41" t="s">
        <v>1379</v>
      </c>
    </row>
    <row r="820" spans="1:59" x14ac:dyDescent="0.3">
      <c r="A820" s="4" t="s">
        <v>779</v>
      </c>
      <c r="B820" s="13"/>
      <c r="C820" s="13" t="s">
        <v>1397</v>
      </c>
      <c r="D820" s="101" t="s">
        <v>2187</v>
      </c>
      <c r="E820" s="102"/>
      <c r="F820" s="13" t="s">
        <v>2384</v>
      </c>
      <c r="G820" s="21">
        <v>6</v>
      </c>
      <c r="H820" s="21">
        <v>0</v>
      </c>
      <c r="I820" s="21">
        <f t="shared" si="786"/>
        <v>0</v>
      </c>
      <c r="J820" s="21">
        <f t="shared" si="787"/>
        <v>0</v>
      </c>
      <c r="K820" s="21">
        <f t="shared" si="788"/>
        <v>0</v>
      </c>
      <c r="L820" s="21">
        <v>0</v>
      </c>
      <c r="M820" s="21">
        <f t="shared" si="789"/>
        <v>0</v>
      </c>
      <c r="N820" s="35"/>
      <c r="O820" s="39"/>
      <c r="U820" s="41">
        <f t="shared" si="790"/>
        <v>0</v>
      </c>
      <c r="W820" s="41">
        <f t="shared" si="791"/>
        <v>0</v>
      </c>
      <c r="X820" s="41">
        <f t="shared" si="792"/>
        <v>0</v>
      </c>
      <c r="Y820" s="41">
        <f t="shared" si="793"/>
        <v>0</v>
      </c>
      <c r="Z820" s="41">
        <f t="shared" si="794"/>
        <v>0</v>
      </c>
      <c r="AA820" s="41">
        <f t="shared" si="795"/>
        <v>0</v>
      </c>
      <c r="AB820" s="41">
        <f t="shared" si="796"/>
        <v>0</v>
      </c>
      <c r="AC820" s="41">
        <f t="shared" si="797"/>
        <v>0</v>
      </c>
      <c r="AD820" s="31"/>
      <c r="AE820" s="21">
        <f t="shared" si="798"/>
        <v>0</v>
      </c>
      <c r="AF820" s="21">
        <f t="shared" si="799"/>
        <v>0</v>
      </c>
      <c r="AG820" s="21">
        <f t="shared" si="800"/>
        <v>0</v>
      </c>
      <c r="AI820" s="41">
        <v>21</v>
      </c>
      <c r="AJ820" s="41">
        <f t="shared" si="801"/>
        <v>0</v>
      </c>
      <c r="AK820" s="41">
        <f t="shared" si="802"/>
        <v>0</v>
      </c>
      <c r="AL820" s="42" t="s">
        <v>8</v>
      </c>
      <c r="AQ820" s="41">
        <f t="shared" si="803"/>
        <v>0</v>
      </c>
      <c r="AR820" s="41">
        <f t="shared" si="804"/>
        <v>0</v>
      </c>
      <c r="AS820" s="41">
        <f t="shared" si="805"/>
        <v>0</v>
      </c>
      <c r="AT820" s="44" t="s">
        <v>2471</v>
      </c>
      <c r="AU820" s="44" t="s">
        <v>2485</v>
      </c>
      <c r="AV820" s="31" t="s">
        <v>2486</v>
      </c>
      <c r="AX820" s="41">
        <f t="shared" si="806"/>
        <v>0</v>
      </c>
      <c r="AY820" s="41">
        <f t="shared" si="807"/>
        <v>0</v>
      </c>
      <c r="AZ820" s="41">
        <v>0</v>
      </c>
      <c r="BA820" s="41">
        <f t="shared" si="808"/>
        <v>0</v>
      </c>
      <c r="BC820" s="21">
        <f t="shared" si="809"/>
        <v>0</v>
      </c>
      <c r="BD820" s="21">
        <f t="shared" si="810"/>
        <v>0</v>
      </c>
      <c r="BE820" s="21">
        <f t="shared" si="811"/>
        <v>0</v>
      </c>
      <c r="BF820" s="21" t="s">
        <v>2492</v>
      </c>
      <c r="BG820" s="41" t="s">
        <v>1379</v>
      </c>
    </row>
    <row r="821" spans="1:59" x14ac:dyDescent="0.3">
      <c r="A821" s="4" t="s">
        <v>780</v>
      </c>
      <c r="B821" s="13"/>
      <c r="C821" s="13" t="s">
        <v>1398</v>
      </c>
      <c r="D821" s="101" t="s">
        <v>2188</v>
      </c>
      <c r="E821" s="102"/>
      <c r="F821" s="13" t="s">
        <v>2384</v>
      </c>
      <c r="G821" s="21">
        <v>6</v>
      </c>
      <c r="H821" s="21">
        <v>0</v>
      </c>
      <c r="I821" s="21">
        <f t="shared" si="786"/>
        <v>0</v>
      </c>
      <c r="J821" s="21">
        <f t="shared" si="787"/>
        <v>0</v>
      </c>
      <c r="K821" s="21">
        <f t="shared" si="788"/>
        <v>0</v>
      </c>
      <c r="L821" s="21">
        <v>0</v>
      </c>
      <c r="M821" s="21">
        <f t="shared" si="789"/>
        <v>0</v>
      </c>
      <c r="N821" s="35"/>
      <c r="O821" s="39"/>
      <c r="U821" s="41">
        <f t="shared" si="790"/>
        <v>0</v>
      </c>
      <c r="W821" s="41">
        <f t="shared" si="791"/>
        <v>0</v>
      </c>
      <c r="X821" s="41">
        <f t="shared" si="792"/>
        <v>0</v>
      </c>
      <c r="Y821" s="41">
        <f t="shared" si="793"/>
        <v>0</v>
      </c>
      <c r="Z821" s="41">
        <f t="shared" si="794"/>
        <v>0</v>
      </c>
      <c r="AA821" s="41">
        <f t="shared" si="795"/>
        <v>0</v>
      </c>
      <c r="AB821" s="41">
        <f t="shared" si="796"/>
        <v>0</v>
      </c>
      <c r="AC821" s="41">
        <f t="shared" si="797"/>
        <v>0</v>
      </c>
      <c r="AD821" s="31"/>
      <c r="AE821" s="21">
        <f t="shared" si="798"/>
        <v>0</v>
      </c>
      <c r="AF821" s="21">
        <f t="shared" si="799"/>
        <v>0</v>
      </c>
      <c r="AG821" s="21">
        <f t="shared" si="800"/>
        <v>0</v>
      </c>
      <c r="AI821" s="41">
        <v>21</v>
      </c>
      <c r="AJ821" s="41">
        <f t="shared" si="801"/>
        <v>0</v>
      </c>
      <c r="AK821" s="41">
        <f t="shared" si="802"/>
        <v>0</v>
      </c>
      <c r="AL821" s="42" t="s">
        <v>8</v>
      </c>
      <c r="AQ821" s="41">
        <f t="shared" si="803"/>
        <v>0</v>
      </c>
      <c r="AR821" s="41">
        <f t="shared" si="804"/>
        <v>0</v>
      </c>
      <c r="AS821" s="41">
        <f t="shared" si="805"/>
        <v>0</v>
      </c>
      <c r="AT821" s="44" t="s">
        <v>2471</v>
      </c>
      <c r="AU821" s="44" t="s">
        <v>2485</v>
      </c>
      <c r="AV821" s="31" t="s">
        <v>2486</v>
      </c>
      <c r="AX821" s="41">
        <f t="shared" si="806"/>
        <v>0</v>
      </c>
      <c r="AY821" s="41">
        <f t="shared" si="807"/>
        <v>0</v>
      </c>
      <c r="AZ821" s="41">
        <v>0</v>
      </c>
      <c r="BA821" s="41">
        <f t="shared" si="808"/>
        <v>0</v>
      </c>
      <c r="BC821" s="21">
        <f t="shared" si="809"/>
        <v>0</v>
      </c>
      <c r="BD821" s="21">
        <f t="shared" si="810"/>
        <v>0</v>
      </c>
      <c r="BE821" s="21">
        <f t="shared" si="811"/>
        <v>0</v>
      </c>
      <c r="BF821" s="21" t="s">
        <v>2492</v>
      </c>
      <c r="BG821" s="41" t="s">
        <v>1379</v>
      </c>
    </row>
    <row r="822" spans="1:59" x14ac:dyDescent="0.3">
      <c r="A822" s="4" t="s">
        <v>781</v>
      </c>
      <c r="B822" s="13"/>
      <c r="C822" s="13" t="s">
        <v>1399</v>
      </c>
      <c r="D822" s="101" t="s">
        <v>2195</v>
      </c>
      <c r="E822" s="102"/>
      <c r="F822" s="13" t="s">
        <v>2384</v>
      </c>
      <c r="G822" s="21">
        <v>6</v>
      </c>
      <c r="H822" s="21">
        <v>0</v>
      </c>
      <c r="I822" s="21">
        <f t="shared" si="786"/>
        <v>0</v>
      </c>
      <c r="J822" s="21">
        <f t="shared" si="787"/>
        <v>0</v>
      </c>
      <c r="K822" s="21">
        <f t="shared" si="788"/>
        <v>0</v>
      </c>
      <c r="L822" s="21">
        <v>0</v>
      </c>
      <c r="M822" s="21">
        <f t="shared" si="789"/>
        <v>0</v>
      </c>
      <c r="N822" s="35"/>
      <c r="O822" s="39"/>
      <c r="U822" s="41">
        <f t="shared" si="790"/>
        <v>0</v>
      </c>
      <c r="W822" s="41">
        <f t="shared" si="791"/>
        <v>0</v>
      </c>
      <c r="X822" s="41">
        <f t="shared" si="792"/>
        <v>0</v>
      </c>
      <c r="Y822" s="41">
        <f t="shared" si="793"/>
        <v>0</v>
      </c>
      <c r="Z822" s="41">
        <f t="shared" si="794"/>
        <v>0</v>
      </c>
      <c r="AA822" s="41">
        <f t="shared" si="795"/>
        <v>0</v>
      </c>
      <c r="AB822" s="41">
        <f t="shared" si="796"/>
        <v>0</v>
      </c>
      <c r="AC822" s="41">
        <f t="shared" si="797"/>
        <v>0</v>
      </c>
      <c r="AD822" s="31"/>
      <c r="AE822" s="21">
        <f t="shared" si="798"/>
        <v>0</v>
      </c>
      <c r="AF822" s="21">
        <f t="shared" si="799"/>
        <v>0</v>
      </c>
      <c r="AG822" s="21">
        <f t="shared" si="800"/>
        <v>0</v>
      </c>
      <c r="AI822" s="41">
        <v>21</v>
      </c>
      <c r="AJ822" s="41">
        <f t="shared" si="801"/>
        <v>0</v>
      </c>
      <c r="AK822" s="41">
        <f t="shared" si="802"/>
        <v>0</v>
      </c>
      <c r="AL822" s="42" t="s">
        <v>8</v>
      </c>
      <c r="AQ822" s="41">
        <f t="shared" si="803"/>
        <v>0</v>
      </c>
      <c r="AR822" s="41">
        <f t="shared" si="804"/>
        <v>0</v>
      </c>
      <c r="AS822" s="41">
        <f t="shared" si="805"/>
        <v>0</v>
      </c>
      <c r="AT822" s="44" t="s">
        <v>2471</v>
      </c>
      <c r="AU822" s="44" t="s">
        <v>2485</v>
      </c>
      <c r="AV822" s="31" t="s">
        <v>2486</v>
      </c>
      <c r="AX822" s="41">
        <f t="shared" si="806"/>
        <v>0</v>
      </c>
      <c r="AY822" s="41">
        <f t="shared" si="807"/>
        <v>0</v>
      </c>
      <c r="AZ822" s="41">
        <v>0</v>
      </c>
      <c r="BA822" s="41">
        <f t="shared" si="808"/>
        <v>0</v>
      </c>
      <c r="BC822" s="21">
        <f t="shared" si="809"/>
        <v>0</v>
      </c>
      <c r="BD822" s="21">
        <f t="shared" si="810"/>
        <v>0</v>
      </c>
      <c r="BE822" s="21">
        <f t="shared" si="811"/>
        <v>0</v>
      </c>
      <c r="BF822" s="21" t="s">
        <v>2492</v>
      </c>
      <c r="BG822" s="41" t="s">
        <v>1379</v>
      </c>
    </row>
    <row r="823" spans="1:59" x14ac:dyDescent="0.3">
      <c r="A823" s="4" t="s">
        <v>782</v>
      </c>
      <c r="B823" s="13"/>
      <c r="C823" s="13" t="s">
        <v>1400</v>
      </c>
      <c r="D823" s="101" t="s">
        <v>2190</v>
      </c>
      <c r="E823" s="102"/>
      <c r="F823" s="13" t="s">
        <v>2384</v>
      </c>
      <c r="G823" s="21">
        <v>6</v>
      </c>
      <c r="H823" s="21">
        <v>0</v>
      </c>
      <c r="I823" s="21">
        <f t="shared" si="786"/>
        <v>0</v>
      </c>
      <c r="J823" s="21">
        <f t="shared" si="787"/>
        <v>0</v>
      </c>
      <c r="K823" s="21">
        <f t="shared" si="788"/>
        <v>0</v>
      </c>
      <c r="L823" s="21">
        <v>0</v>
      </c>
      <c r="M823" s="21">
        <f t="shared" si="789"/>
        <v>0</v>
      </c>
      <c r="N823" s="35"/>
      <c r="O823" s="39"/>
      <c r="U823" s="41">
        <f t="shared" si="790"/>
        <v>0</v>
      </c>
      <c r="W823" s="41">
        <f t="shared" si="791"/>
        <v>0</v>
      </c>
      <c r="X823" s="41">
        <f t="shared" si="792"/>
        <v>0</v>
      </c>
      <c r="Y823" s="41">
        <f t="shared" si="793"/>
        <v>0</v>
      </c>
      <c r="Z823" s="41">
        <f t="shared" si="794"/>
        <v>0</v>
      </c>
      <c r="AA823" s="41">
        <f t="shared" si="795"/>
        <v>0</v>
      </c>
      <c r="AB823" s="41">
        <f t="shared" si="796"/>
        <v>0</v>
      </c>
      <c r="AC823" s="41">
        <f t="shared" si="797"/>
        <v>0</v>
      </c>
      <c r="AD823" s="31"/>
      <c r="AE823" s="21">
        <f t="shared" si="798"/>
        <v>0</v>
      </c>
      <c r="AF823" s="21">
        <f t="shared" si="799"/>
        <v>0</v>
      </c>
      <c r="AG823" s="21">
        <f t="shared" si="800"/>
        <v>0</v>
      </c>
      <c r="AI823" s="41">
        <v>21</v>
      </c>
      <c r="AJ823" s="41">
        <f t="shared" si="801"/>
        <v>0</v>
      </c>
      <c r="AK823" s="41">
        <f t="shared" si="802"/>
        <v>0</v>
      </c>
      <c r="AL823" s="42" t="s">
        <v>8</v>
      </c>
      <c r="AQ823" s="41">
        <f t="shared" si="803"/>
        <v>0</v>
      </c>
      <c r="AR823" s="41">
        <f t="shared" si="804"/>
        <v>0</v>
      </c>
      <c r="AS823" s="41">
        <f t="shared" si="805"/>
        <v>0</v>
      </c>
      <c r="AT823" s="44" t="s">
        <v>2471</v>
      </c>
      <c r="AU823" s="44" t="s">
        <v>2485</v>
      </c>
      <c r="AV823" s="31" t="s">
        <v>2486</v>
      </c>
      <c r="AX823" s="41">
        <f t="shared" si="806"/>
        <v>0</v>
      </c>
      <c r="AY823" s="41">
        <f t="shared" si="807"/>
        <v>0</v>
      </c>
      <c r="AZ823" s="41">
        <v>0</v>
      </c>
      <c r="BA823" s="41">
        <f t="shared" si="808"/>
        <v>0</v>
      </c>
      <c r="BC823" s="21">
        <f t="shared" si="809"/>
        <v>0</v>
      </c>
      <c r="BD823" s="21">
        <f t="shared" si="810"/>
        <v>0</v>
      </c>
      <c r="BE823" s="21">
        <f t="shared" si="811"/>
        <v>0</v>
      </c>
      <c r="BF823" s="21" t="s">
        <v>2492</v>
      </c>
      <c r="BG823" s="41" t="s">
        <v>1379</v>
      </c>
    </row>
    <row r="824" spans="1:59" x14ac:dyDescent="0.3">
      <c r="A824" s="4" t="s">
        <v>783</v>
      </c>
      <c r="B824" s="13"/>
      <c r="C824" s="13" t="s">
        <v>1401</v>
      </c>
      <c r="D824" s="101" t="s">
        <v>2191</v>
      </c>
      <c r="E824" s="102"/>
      <c r="F824" s="13" t="s">
        <v>2384</v>
      </c>
      <c r="G824" s="21">
        <v>12</v>
      </c>
      <c r="H824" s="21">
        <v>0</v>
      </c>
      <c r="I824" s="21">
        <f t="shared" si="786"/>
        <v>0</v>
      </c>
      <c r="J824" s="21">
        <f t="shared" si="787"/>
        <v>0</v>
      </c>
      <c r="K824" s="21">
        <f t="shared" si="788"/>
        <v>0</v>
      </c>
      <c r="L824" s="21">
        <v>0</v>
      </c>
      <c r="M824" s="21">
        <f t="shared" si="789"/>
        <v>0</v>
      </c>
      <c r="N824" s="35"/>
      <c r="O824" s="39"/>
      <c r="U824" s="41">
        <f t="shared" si="790"/>
        <v>0</v>
      </c>
      <c r="W824" s="41">
        <f t="shared" si="791"/>
        <v>0</v>
      </c>
      <c r="X824" s="41">
        <f t="shared" si="792"/>
        <v>0</v>
      </c>
      <c r="Y824" s="41">
        <f t="shared" si="793"/>
        <v>0</v>
      </c>
      <c r="Z824" s="41">
        <f t="shared" si="794"/>
        <v>0</v>
      </c>
      <c r="AA824" s="41">
        <f t="shared" si="795"/>
        <v>0</v>
      </c>
      <c r="AB824" s="41">
        <f t="shared" si="796"/>
        <v>0</v>
      </c>
      <c r="AC824" s="41">
        <f t="shared" si="797"/>
        <v>0</v>
      </c>
      <c r="AD824" s="31"/>
      <c r="AE824" s="21">
        <f t="shared" si="798"/>
        <v>0</v>
      </c>
      <c r="AF824" s="21">
        <f t="shared" si="799"/>
        <v>0</v>
      </c>
      <c r="AG824" s="21">
        <f t="shared" si="800"/>
        <v>0</v>
      </c>
      <c r="AI824" s="41">
        <v>21</v>
      </c>
      <c r="AJ824" s="41">
        <f t="shared" si="801"/>
        <v>0</v>
      </c>
      <c r="AK824" s="41">
        <f t="shared" si="802"/>
        <v>0</v>
      </c>
      <c r="AL824" s="42" t="s">
        <v>8</v>
      </c>
      <c r="AQ824" s="41">
        <f t="shared" si="803"/>
        <v>0</v>
      </c>
      <c r="AR824" s="41">
        <f t="shared" si="804"/>
        <v>0</v>
      </c>
      <c r="AS824" s="41">
        <f t="shared" si="805"/>
        <v>0</v>
      </c>
      <c r="AT824" s="44" t="s">
        <v>2471</v>
      </c>
      <c r="AU824" s="44" t="s">
        <v>2485</v>
      </c>
      <c r="AV824" s="31" t="s">
        <v>2486</v>
      </c>
      <c r="AX824" s="41">
        <f t="shared" si="806"/>
        <v>0</v>
      </c>
      <c r="AY824" s="41">
        <f t="shared" si="807"/>
        <v>0</v>
      </c>
      <c r="AZ824" s="41">
        <v>0</v>
      </c>
      <c r="BA824" s="41">
        <f t="shared" si="808"/>
        <v>0</v>
      </c>
      <c r="BC824" s="21">
        <f t="shared" si="809"/>
        <v>0</v>
      </c>
      <c r="BD824" s="21">
        <f t="shared" si="810"/>
        <v>0</v>
      </c>
      <c r="BE824" s="21">
        <f t="shared" si="811"/>
        <v>0</v>
      </c>
      <c r="BF824" s="21" t="s">
        <v>2492</v>
      </c>
      <c r="BG824" s="41" t="s">
        <v>1379</v>
      </c>
    </row>
    <row r="825" spans="1:59" x14ac:dyDescent="0.3">
      <c r="A825" s="4" t="s">
        <v>784</v>
      </c>
      <c r="B825" s="13"/>
      <c r="C825" s="13" t="s">
        <v>1402</v>
      </c>
      <c r="D825" s="101" t="s">
        <v>2196</v>
      </c>
      <c r="E825" s="102"/>
      <c r="F825" s="13" t="s">
        <v>2384</v>
      </c>
      <c r="G825" s="21">
        <v>7</v>
      </c>
      <c r="H825" s="21">
        <v>0</v>
      </c>
      <c r="I825" s="21">
        <f t="shared" si="786"/>
        <v>0</v>
      </c>
      <c r="J825" s="21">
        <f t="shared" si="787"/>
        <v>0</v>
      </c>
      <c r="K825" s="21">
        <f t="shared" si="788"/>
        <v>0</v>
      </c>
      <c r="L825" s="21">
        <v>0</v>
      </c>
      <c r="M825" s="21">
        <f t="shared" si="789"/>
        <v>0</v>
      </c>
      <c r="N825" s="35"/>
      <c r="O825" s="39"/>
      <c r="U825" s="41">
        <f t="shared" si="790"/>
        <v>0</v>
      </c>
      <c r="W825" s="41">
        <f t="shared" si="791"/>
        <v>0</v>
      </c>
      <c r="X825" s="41">
        <f t="shared" si="792"/>
        <v>0</v>
      </c>
      <c r="Y825" s="41">
        <f t="shared" si="793"/>
        <v>0</v>
      </c>
      <c r="Z825" s="41">
        <f t="shared" si="794"/>
        <v>0</v>
      </c>
      <c r="AA825" s="41">
        <f t="shared" si="795"/>
        <v>0</v>
      </c>
      <c r="AB825" s="41">
        <f t="shared" si="796"/>
        <v>0</v>
      </c>
      <c r="AC825" s="41">
        <f t="shared" si="797"/>
        <v>0</v>
      </c>
      <c r="AD825" s="31"/>
      <c r="AE825" s="21">
        <f t="shared" si="798"/>
        <v>0</v>
      </c>
      <c r="AF825" s="21">
        <f t="shared" si="799"/>
        <v>0</v>
      </c>
      <c r="AG825" s="21">
        <f t="shared" si="800"/>
        <v>0</v>
      </c>
      <c r="AI825" s="41">
        <v>21</v>
      </c>
      <c r="AJ825" s="41">
        <f t="shared" si="801"/>
        <v>0</v>
      </c>
      <c r="AK825" s="41">
        <f t="shared" si="802"/>
        <v>0</v>
      </c>
      <c r="AL825" s="42" t="s">
        <v>8</v>
      </c>
      <c r="AQ825" s="41">
        <f t="shared" si="803"/>
        <v>0</v>
      </c>
      <c r="AR825" s="41">
        <f t="shared" si="804"/>
        <v>0</v>
      </c>
      <c r="AS825" s="41">
        <f t="shared" si="805"/>
        <v>0</v>
      </c>
      <c r="AT825" s="44" t="s">
        <v>2471</v>
      </c>
      <c r="AU825" s="44" t="s">
        <v>2485</v>
      </c>
      <c r="AV825" s="31" t="s">
        <v>2486</v>
      </c>
      <c r="AX825" s="41">
        <f t="shared" si="806"/>
        <v>0</v>
      </c>
      <c r="AY825" s="41">
        <f t="shared" si="807"/>
        <v>0</v>
      </c>
      <c r="AZ825" s="41">
        <v>0</v>
      </c>
      <c r="BA825" s="41">
        <f t="shared" si="808"/>
        <v>0</v>
      </c>
      <c r="BC825" s="21">
        <f t="shared" si="809"/>
        <v>0</v>
      </c>
      <c r="BD825" s="21">
        <f t="shared" si="810"/>
        <v>0</v>
      </c>
      <c r="BE825" s="21">
        <f t="shared" si="811"/>
        <v>0</v>
      </c>
      <c r="BF825" s="21" t="s">
        <v>2492</v>
      </c>
      <c r="BG825" s="41" t="s">
        <v>1379</v>
      </c>
    </row>
    <row r="826" spans="1:59" x14ac:dyDescent="0.3">
      <c r="A826" s="4" t="s">
        <v>785</v>
      </c>
      <c r="B826" s="13"/>
      <c r="C826" s="13" t="s">
        <v>1403</v>
      </c>
      <c r="D826" s="101" t="s">
        <v>2192</v>
      </c>
      <c r="E826" s="102"/>
      <c r="F826" s="13" t="s">
        <v>2384</v>
      </c>
      <c r="G826" s="21">
        <v>20</v>
      </c>
      <c r="H826" s="21">
        <v>0</v>
      </c>
      <c r="I826" s="21">
        <f t="shared" si="786"/>
        <v>0</v>
      </c>
      <c r="J826" s="21">
        <f t="shared" si="787"/>
        <v>0</v>
      </c>
      <c r="K826" s="21">
        <f t="shared" si="788"/>
        <v>0</v>
      </c>
      <c r="L826" s="21">
        <v>0</v>
      </c>
      <c r="M826" s="21">
        <f t="shared" si="789"/>
        <v>0</v>
      </c>
      <c r="N826" s="35"/>
      <c r="O826" s="39"/>
      <c r="U826" s="41">
        <f t="shared" si="790"/>
        <v>0</v>
      </c>
      <c r="W826" s="41">
        <f t="shared" si="791"/>
        <v>0</v>
      </c>
      <c r="X826" s="41">
        <f t="shared" si="792"/>
        <v>0</v>
      </c>
      <c r="Y826" s="41">
        <f t="shared" si="793"/>
        <v>0</v>
      </c>
      <c r="Z826" s="41">
        <f t="shared" si="794"/>
        <v>0</v>
      </c>
      <c r="AA826" s="41">
        <f t="shared" si="795"/>
        <v>0</v>
      </c>
      <c r="AB826" s="41">
        <f t="shared" si="796"/>
        <v>0</v>
      </c>
      <c r="AC826" s="41">
        <f t="shared" si="797"/>
        <v>0</v>
      </c>
      <c r="AD826" s="31"/>
      <c r="AE826" s="21">
        <f t="shared" si="798"/>
        <v>0</v>
      </c>
      <c r="AF826" s="21">
        <f t="shared" si="799"/>
        <v>0</v>
      </c>
      <c r="AG826" s="21">
        <f t="shared" si="800"/>
        <v>0</v>
      </c>
      <c r="AI826" s="41">
        <v>21</v>
      </c>
      <c r="AJ826" s="41">
        <f t="shared" si="801"/>
        <v>0</v>
      </c>
      <c r="AK826" s="41">
        <f t="shared" si="802"/>
        <v>0</v>
      </c>
      <c r="AL826" s="42" t="s">
        <v>8</v>
      </c>
      <c r="AQ826" s="41">
        <f t="shared" si="803"/>
        <v>0</v>
      </c>
      <c r="AR826" s="41">
        <f t="shared" si="804"/>
        <v>0</v>
      </c>
      <c r="AS826" s="41">
        <f t="shared" si="805"/>
        <v>0</v>
      </c>
      <c r="AT826" s="44" t="s">
        <v>2471</v>
      </c>
      <c r="AU826" s="44" t="s">
        <v>2485</v>
      </c>
      <c r="AV826" s="31" t="s">
        <v>2486</v>
      </c>
      <c r="AX826" s="41">
        <f t="shared" si="806"/>
        <v>0</v>
      </c>
      <c r="AY826" s="41">
        <f t="shared" si="807"/>
        <v>0</v>
      </c>
      <c r="AZ826" s="41">
        <v>0</v>
      </c>
      <c r="BA826" s="41">
        <f t="shared" si="808"/>
        <v>0</v>
      </c>
      <c r="BC826" s="21">
        <f t="shared" si="809"/>
        <v>0</v>
      </c>
      <c r="BD826" s="21">
        <f t="shared" si="810"/>
        <v>0</v>
      </c>
      <c r="BE826" s="21">
        <f t="shared" si="811"/>
        <v>0</v>
      </c>
      <c r="BF826" s="21" t="s">
        <v>2492</v>
      </c>
      <c r="BG826" s="41" t="s">
        <v>1379</v>
      </c>
    </row>
    <row r="827" spans="1:59" x14ac:dyDescent="0.3">
      <c r="A827" s="4" t="s">
        <v>786</v>
      </c>
      <c r="B827" s="13"/>
      <c r="C827" s="13" t="s">
        <v>1404</v>
      </c>
      <c r="D827" s="101" t="s">
        <v>2193</v>
      </c>
      <c r="E827" s="102"/>
      <c r="F827" s="13" t="s">
        <v>2384</v>
      </c>
      <c r="G827" s="21">
        <v>50</v>
      </c>
      <c r="H827" s="21">
        <v>0</v>
      </c>
      <c r="I827" s="21">
        <f t="shared" si="786"/>
        <v>0</v>
      </c>
      <c r="J827" s="21">
        <f t="shared" si="787"/>
        <v>0</v>
      </c>
      <c r="K827" s="21">
        <f t="shared" si="788"/>
        <v>0</v>
      </c>
      <c r="L827" s="21">
        <v>0</v>
      </c>
      <c r="M827" s="21">
        <f t="shared" si="789"/>
        <v>0</v>
      </c>
      <c r="N827" s="35"/>
      <c r="O827" s="39"/>
      <c r="U827" s="41">
        <f t="shared" si="790"/>
        <v>0</v>
      </c>
      <c r="W827" s="41">
        <f t="shared" si="791"/>
        <v>0</v>
      </c>
      <c r="X827" s="41">
        <f t="shared" si="792"/>
        <v>0</v>
      </c>
      <c r="Y827" s="41">
        <f t="shared" si="793"/>
        <v>0</v>
      </c>
      <c r="Z827" s="41">
        <f t="shared" si="794"/>
        <v>0</v>
      </c>
      <c r="AA827" s="41">
        <f t="shared" si="795"/>
        <v>0</v>
      </c>
      <c r="AB827" s="41">
        <f t="shared" si="796"/>
        <v>0</v>
      </c>
      <c r="AC827" s="41">
        <f t="shared" si="797"/>
        <v>0</v>
      </c>
      <c r="AD827" s="31"/>
      <c r="AE827" s="21">
        <f t="shared" si="798"/>
        <v>0</v>
      </c>
      <c r="AF827" s="21">
        <f t="shared" si="799"/>
        <v>0</v>
      </c>
      <c r="AG827" s="21">
        <f t="shared" si="800"/>
        <v>0</v>
      </c>
      <c r="AI827" s="41">
        <v>21</v>
      </c>
      <c r="AJ827" s="41">
        <f t="shared" si="801"/>
        <v>0</v>
      </c>
      <c r="AK827" s="41">
        <f t="shared" si="802"/>
        <v>0</v>
      </c>
      <c r="AL827" s="42" t="s">
        <v>8</v>
      </c>
      <c r="AQ827" s="41">
        <f t="shared" si="803"/>
        <v>0</v>
      </c>
      <c r="AR827" s="41">
        <f t="shared" si="804"/>
        <v>0</v>
      </c>
      <c r="AS827" s="41">
        <f t="shared" si="805"/>
        <v>0</v>
      </c>
      <c r="AT827" s="44" t="s">
        <v>2471</v>
      </c>
      <c r="AU827" s="44" t="s">
        <v>2485</v>
      </c>
      <c r="AV827" s="31" t="s">
        <v>2486</v>
      </c>
      <c r="AX827" s="41">
        <f t="shared" si="806"/>
        <v>0</v>
      </c>
      <c r="AY827" s="41">
        <f t="shared" si="807"/>
        <v>0</v>
      </c>
      <c r="AZ827" s="41">
        <v>0</v>
      </c>
      <c r="BA827" s="41">
        <f t="shared" si="808"/>
        <v>0</v>
      </c>
      <c r="BC827" s="21">
        <f t="shared" si="809"/>
        <v>0</v>
      </c>
      <c r="BD827" s="21">
        <f t="shared" si="810"/>
        <v>0</v>
      </c>
      <c r="BE827" s="21">
        <f t="shared" si="811"/>
        <v>0</v>
      </c>
      <c r="BF827" s="21" t="s">
        <v>2492</v>
      </c>
      <c r="BG827" s="41" t="s">
        <v>1379</v>
      </c>
    </row>
    <row r="828" spans="1:59" x14ac:dyDescent="0.3">
      <c r="A828" s="4" t="s">
        <v>787</v>
      </c>
      <c r="B828" s="13"/>
      <c r="C828" s="13" t="s">
        <v>1405</v>
      </c>
      <c r="D828" s="101" t="s">
        <v>2194</v>
      </c>
      <c r="E828" s="102"/>
      <c r="F828" s="13" t="s">
        <v>2384</v>
      </c>
      <c r="G828" s="21">
        <v>6</v>
      </c>
      <c r="H828" s="21">
        <v>0</v>
      </c>
      <c r="I828" s="21">
        <f t="shared" si="786"/>
        <v>0</v>
      </c>
      <c r="J828" s="21">
        <f t="shared" si="787"/>
        <v>0</v>
      </c>
      <c r="K828" s="21">
        <f t="shared" si="788"/>
        <v>0</v>
      </c>
      <c r="L828" s="21">
        <v>0</v>
      </c>
      <c r="M828" s="21">
        <f t="shared" si="789"/>
        <v>0</v>
      </c>
      <c r="N828" s="35"/>
      <c r="O828" s="39"/>
      <c r="U828" s="41">
        <f t="shared" si="790"/>
        <v>0</v>
      </c>
      <c r="W828" s="41">
        <f t="shared" si="791"/>
        <v>0</v>
      </c>
      <c r="X828" s="41">
        <f t="shared" si="792"/>
        <v>0</v>
      </c>
      <c r="Y828" s="41">
        <f t="shared" si="793"/>
        <v>0</v>
      </c>
      <c r="Z828" s="41">
        <f t="shared" si="794"/>
        <v>0</v>
      </c>
      <c r="AA828" s="41">
        <f t="shared" si="795"/>
        <v>0</v>
      </c>
      <c r="AB828" s="41">
        <f t="shared" si="796"/>
        <v>0</v>
      </c>
      <c r="AC828" s="41">
        <f t="shared" si="797"/>
        <v>0</v>
      </c>
      <c r="AD828" s="31"/>
      <c r="AE828" s="21">
        <f t="shared" si="798"/>
        <v>0</v>
      </c>
      <c r="AF828" s="21">
        <f t="shared" si="799"/>
        <v>0</v>
      </c>
      <c r="AG828" s="21">
        <f t="shared" si="800"/>
        <v>0</v>
      </c>
      <c r="AI828" s="41">
        <v>21</v>
      </c>
      <c r="AJ828" s="41">
        <f t="shared" si="801"/>
        <v>0</v>
      </c>
      <c r="AK828" s="41">
        <f t="shared" si="802"/>
        <v>0</v>
      </c>
      <c r="AL828" s="42" t="s">
        <v>8</v>
      </c>
      <c r="AQ828" s="41">
        <f t="shared" si="803"/>
        <v>0</v>
      </c>
      <c r="AR828" s="41">
        <f t="shared" si="804"/>
        <v>0</v>
      </c>
      <c r="AS828" s="41">
        <f t="shared" si="805"/>
        <v>0</v>
      </c>
      <c r="AT828" s="44" t="s">
        <v>2471</v>
      </c>
      <c r="AU828" s="44" t="s">
        <v>2485</v>
      </c>
      <c r="AV828" s="31" t="s">
        <v>2486</v>
      </c>
      <c r="AX828" s="41">
        <f t="shared" si="806"/>
        <v>0</v>
      </c>
      <c r="AY828" s="41">
        <f t="shared" si="807"/>
        <v>0</v>
      </c>
      <c r="AZ828" s="41">
        <v>0</v>
      </c>
      <c r="BA828" s="41">
        <f t="shared" si="808"/>
        <v>0</v>
      </c>
      <c r="BC828" s="21">
        <f t="shared" si="809"/>
        <v>0</v>
      </c>
      <c r="BD828" s="21">
        <f t="shared" si="810"/>
        <v>0</v>
      </c>
      <c r="BE828" s="21">
        <f t="shared" si="811"/>
        <v>0</v>
      </c>
      <c r="BF828" s="21" t="s">
        <v>2492</v>
      </c>
      <c r="BG828" s="41" t="s">
        <v>1379</v>
      </c>
    </row>
    <row r="829" spans="1:59" x14ac:dyDescent="0.3">
      <c r="A829" s="4" t="s">
        <v>788</v>
      </c>
      <c r="B829" s="13"/>
      <c r="C829" s="13" t="s">
        <v>1406</v>
      </c>
      <c r="D829" s="101" t="s">
        <v>2197</v>
      </c>
      <c r="E829" s="102"/>
      <c r="F829" s="13" t="s">
        <v>2384</v>
      </c>
      <c r="G829" s="21">
        <v>4</v>
      </c>
      <c r="H829" s="21">
        <v>0</v>
      </c>
      <c r="I829" s="21">
        <f t="shared" si="786"/>
        <v>0</v>
      </c>
      <c r="J829" s="21">
        <f t="shared" si="787"/>
        <v>0</v>
      </c>
      <c r="K829" s="21">
        <f t="shared" si="788"/>
        <v>0</v>
      </c>
      <c r="L829" s="21">
        <v>0</v>
      </c>
      <c r="M829" s="21">
        <f t="shared" si="789"/>
        <v>0</v>
      </c>
      <c r="N829" s="35"/>
      <c r="O829" s="39"/>
      <c r="U829" s="41">
        <f t="shared" si="790"/>
        <v>0</v>
      </c>
      <c r="W829" s="41">
        <f t="shared" si="791"/>
        <v>0</v>
      </c>
      <c r="X829" s="41">
        <f t="shared" si="792"/>
        <v>0</v>
      </c>
      <c r="Y829" s="41">
        <f t="shared" si="793"/>
        <v>0</v>
      </c>
      <c r="Z829" s="41">
        <f t="shared" si="794"/>
        <v>0</v>
      </c>
      <c r="AA829" s="41">
        <f t="shared" si="795"/>
        <v>0</v>
      </c>
      <c r="AB829" s="41">
        <f t="shared" si="796"/>
        <v>0</v>
      </c>
      <c r="AC829" s="41">
        <f t="shared" si="797"/>
        <v>0</v>
      </c>
      <c r="AD829" s="31"/>
      <c r="AE829" s="21">
        <f t="shared" si="798"/>
        <v>0</v>
      </c>
      <c r="AF829" s="21">
        <f t="shared" si="799"/>
        <v>0</v>
      </c>
      <c r="AG829" s="21">
        <f t="shared" si="800"/>
        <v>0</v>
      </c>
      <c r="AI829" s="41">
        <v>21</v>
      </c>
      <c r="AJ829" s="41">
        <f t="shared" si="801"/>
        <v>0</v>
      </c>
      <c r="AK829" s="41">
        <f t="shared" si="802"/>
        <v>0</v>
      </c>
      <c r="AL829" s="42" t="s">
        <v>8</v>
      </c>
      <c r="AQ829" s="41">
        <f t="shared" si="803"/>
        <v>0</v>
      </c>
      <c r="AR829" s="41">
        <f t="shared" si="804"/>
        <v>0</v>
      </c>
      <c r="AS829" s="41">
        <f t="shared" si="805"/>
        <v>0</v>
      </c>
      <c r="AT829" s="44" t="s">
        <v>2471</v>
      </c>
      <c r="AU829" s="44" t="s">
        <v>2485</v>
      </c>
      <c r="AV829" s="31" t="s">
        <v>2486</v>
      </c>
      <c r="AX829" s="41">
        <f t="shared" si="806"/>
        <v>0</v>
      </c>
      <c r="AY829" s="41">
        <f t="shared" si="807"/>
        <v>0</v>
      </c>
      <c r="AZ829" s="41">
        <v>0</v>
      </c>
      <c r="BA829" s="41">
        <f t="shared" si="808"/>
        <v>0</v>
      </c>
      <c r="BC829" s="21">
        <f t="shared" si="809"/>
        <v>0</v>
      </c>
      <c r="BD829" s="21">
        <f t="shared" si="810"/>
        <v>0</v>
      </c>
      <c r="BE829" s="21">
        <f t="shared" si="811"/>
        <v>0</v>
      </c>
      <c r="BF829" s="21" t="s">
        <v>2492</v>
      </c>
      <c r="BG829" s="41" t="s">
        <v>1379</v>
      </c>
    </row>
    <row r="830" spans="1:59" x14ac:dyDescent="0.3">
      <c r="A830" s="4" t="s">
        <v>789</v>
      </c>
      <c r="B830" s="13"/>
      <c r="C830" s="13" t="s">
        <v>1407</v>
      </c>
      <c r="D830" s="101" t="s">
        <v>2187</v>
      </c>
      <c r="E830" s="102"/>
      <c r="F830" s="13" t="s">
        <v>2384</v>
      </c>
      <c r="G830" s="21">
        <v>24</v>
      </c>
      <c r="H830" s="21">
        <v>0</v>
      </c>
      <c r="I830" s="21">
        <f t="shared" si="786"/>
        <v>0</v>
      </c>
      <c r="J830" s="21">
        <f t="shared" si="787"/>
        <v>0</v>
      </c>
      <c r="K830" s="21">
        <f t="shared" si="788"/>
        <v>0</v>
      </c>
      <c r="L830" s="21">
        <v>0</v>
      </c>
      <c r="M830" s="21">
        <f t="shared" si="789"/>
        <v>0</v>
      </c>
      <c r="N830" s="35"/>
      <c r="O830" s="39"/>
      <c r="U830" s="41">
        <f t="shared" si="790"/>
        <v>0</v>
      </c>
      <c r="W830" s="41">
        <f t="shared" si="791"/>
        <v>0</v>
      </c>
      <c r="X830" s="41">
        <f t="shared" si="792"/>
        <v>0</v>
      </c>
      <c r="Y830" s="41">
        <f t="shared" si="793"/>
        <v>0</v>
      </c>
      <c r="Z830" s="41">
        <f t="shared" si="794"/>
        <v>0</v>
      </c>
      <c r="AA830" s="41">
        <f t="shared" si="795"/>
        <v>0</v>
      </c>
      <c r="AB830" s="41">
        <f t="shared" si="796"/>
        <v>0</v>
      </c>
      <c r="AC830" s="41">
        <f t="shared" si="797"/>
        <v>0</v>
      </c>
      <c r="AD830" s="31"/>
      <c r="AE830" s="21">
        <f t="shared" si="798"/>
        <v>0</v>
      </c>
      <c r="AF830" s="21">
        <f t="shared" si="799"/>
        <v>0</v>
      </c>
      <c r="AG830" s="21">
        <f t="shared" si="800"/>
        <v>0</v>
      </c>
      <c r="AI830" s="41">
        <v>21</v>
      </c>
      <c r="AJ830" s="41">
        <f t="shared" si="801"/>
        <v>0</v>
      </c>
      <c r="AK830" s="41">
        <f t="shared" si="802"/>
        <v>0</v>
      </c>
      <c r="AL830" s="42" t="s">
        <v>8</v>
      </c>
      <c r="AQ830" s="41">
        <f t="shared" si="803"/>
        <v>0</v>
      </c>
      <c r="AR830" s="41">
        <f t="shared" si="804"/>
        <v>0</v>
      </c>
      <c r="AS830" s="41">
        <f t="shared" si="805"/>
        <v>0</v>
      </c>
      <c r="AT830" s="44" t="s">
        <v>2471</v>
      </c>
      <c r="AU830" s="44" t="s">
        <v>2485</v>
      </c>
      <c r="AV830" s="31" t="s">
        <v>2486</v>
      </c>
      <c r="AX830" s="41">
        <f t="shared" si="806"/>
        <v>0</v>
      </c>
      <c r="AY830" s="41">
        <f t="shared" si="807"/>
        <v>0</v>
      </c>
      <c r="AZ830" s="41">
        <v>0</v>
      </c>
      <c r="BA830" s="41">
        <f t="shared" si="808"/>
        <v>0</v>
      </c>
      <c r="BC830" s="21">
        <f t="shared" si="809"/>
        <v>0</v>
      </c>
      <c r="BD830" s="21">
        <f t="shared" si="810"/>
        <v>0</v>
      </c>
      <c r="BE830" s="21">
        <f t="shared" si="811"/>
        <v>0</v>
      </c>
      <c r="BF830" s="21" t="s">
        <v>2492</v>
      </c>
      <c r="BG830" s="41" t="s">
        <v>1379</v>
      </c>
    </row>
    <row r="831" spans="1:59" x14ac:dyDescent="0.3">
      <c r="A831" s="4" t="s">
        <v>790</v>
      </c>
      <c r="B831" s="13"/>
      <c r="C831" s="13" t="s">
        <v>1408</v>
      </c>
      <c r="D831" s="101" t="s">
        <v>2188</v>
      </c>
      <c r="E831" s="102"/>
      <c r="F831" s="13" t="s">
        <v>2384</v>
      </c>
      <c r="G831" s="21">
        <v>24</v>
      </c>
      <c r="H831" s="21">
        <v>0</v>
      </c>
      <c r="I831" s="21">
        <f t="shared" si="786"/>
        <v>0</v>
      </c>
      <c r="J831" s="21">
        <f t="shared" si="787"/>
        <v>0</v>
      </c>
      <c r="K831" s="21">
        <f t="shared" si="788"/>
        <v>0</v>
      </c>
      <c r="L831" s="21">
        <v>0</v>
      </c>
      <c r="M831" s="21">
        <f t="shared" si="789"/>
        <v>0</v>
      </c>
      <c r="N831" s="35"/>
      <c r="O831" s="39"/>
      <c r="U831" s="41">
        <f t="shared" si="790"/>
        <v>0</v>
      </c>
      <c r="W831" s="41">
        <f t="shared" si="791"/>
        <v>0</v>
      </c>
      <c r="X831" s="41">
        <f t="shared" si="792"/>
        <v>0</v>
      </c>
      <c r="Y831" s="41">
        <f t="shared" si="793"/>
        <v>0</v>
      </c>
      <c r="Z831" s="41">
        <f t="shared" si="794"/>
        <v>0</v>
      </c>
      <c r="AA831" s="41">
        <f t="shared" si="795"/>
        <v>0</v>
      </c>
      <c r="AB831" s="41">
        <f t="shared" si="796"/>
        <v>0</v>
      </c>
      <c r="AC831" s="41">
        <f t="shared" si="797"/>
        <v>0</v>
      </c>
      <c r="AD831" s="31"/>
      <c r="AE831" s="21">
        <f t="shared" si="798"/>
        <v>0</v>
      </c>
      <c r="AF831" s="21">
        <f t="shared" si="799"/>
        <v>0</v>
      </c>
      <c r="AG831" s="21">
        <f t="shared" si="800"/>
        <v>0</v>
      </c>
      <c r="AI831" s="41">
        <v>21</v>
      </c>
      <c r="AJ831" s="41">
        <f t="shared" si="801"/>
        <v>0</v>
      </c>
      <c r="AK831" s="41">
        <f t="shared" si="802"/>
        <v>0</v>
      </c>
      <c r="AL831" s="42" t="s">
        <v>8</v>
      </c>
      <c r="AQ831" s="41">
        <f t="shared" si="803"/>
        <v>0</v>
      </c>
      <c r="AR831" s="41">
        <f t="shared" si="804"/>
        <v>0</v>
      </c>
      <c r="AS831" s="41">
        <f t="shared" si="805"/>
        <v>0</v>
      </c>
      <c r="AT831" s="44" t="s">
        <v>2471</v>
      </c>
      <c r="AU831" s="44" t="s">
        <v>2485</v>
      </c>
      <c r="AV831" s="31" t="s">
        <v>2486</v>
      </c>
      <c r="AX831" s="41">
        <f t="shared" si="806"/>
        <v>0</v>
      </c>
      <c r="AY831" s="41">
        <f t="shared" si="807"/>
        <v>0</v>
      </c>
      <c r="AZ831" s="41">
        <v>0</v>
      </c>
      <c r="BA831" s="41">
        <f t="shared" si="808"/>
        <v>0</v>
      </c>
      <c r="BC831" s="21">
        <f t="shared" si="809"/>
        <v>0</v>
      </c>
      <c r="BD831" s="21">
        <f t="shared" si="810"/>
        <v>0</v>
      </c>
      <c r="BE831" s="21">
        <f t="shared" si="811"/>
        <v>0</v>
      </c>
      <c r="BF831" s="21" t="s">
        <v>2492</v>
      </c>
      <c r="BG831" s="41" t="s">
        <v>1379</v>
      </c>
    </row>
    <row r="832" spans="1:59" x14ac:dyDescent="0.3">
      <c r="A832" s="4" t="s">
        <v>791</v>
      </c>
      <c r="B832" s="13"/>
      <c r="C832" s="13" t="s">
        <v>1409</v>
      </c>
      <c r="D832" s="101" t="s">
        <v>2195</v>
      </c>
      <c r="E832" s="102"/>
      <c r="F832" s="13" t="s">
        <v>2384</v>
      </c>
      <c r="G832" s="21">
        <v>24</v>
      </c>
      <c r="H832" s="21">
        <v>0</v>
      </c>
      <c r="I832" s="21">
        <f t="shared" si="786"/>
        <v>0</v>
      </c>
      <c r="J832" s="21">
        <f t="shared" si="787"/>
        <v>0</v>
      </c>
      <c r="K832" s="21">
        <f t="shared" si="788"/>
        <v>0</v>
      </c>
      <c r="L832" s="21">
        <v>0</v>
      </c>
      <c r="M832" s="21">
        <f t="shared" si="789"/>
        <v>0</v>
      </c>
      <c r="N832" s="35"/>
      <c r="O832" s="39"/>
      <c r="U832" s="41">
        <f t="shared" si="790"/>
        <v>0</v>
      </c>
      <c r="W832" s="41">
        <f t="shared" si="791"/>
        <v>0</v>
      </c>
      <c r="X832" s="41">
        <f t="shared" si="792"/>
        <v>0</v>
      </c>
      <c r="Y832" s="41">
        <f t="shared" si="793"/>
        <v>0</v>
      </c>
      <c r="Z832" s="41">
        <f t="shared" si="794"/>
        <v>0</v>
      </c>
      <c r="AA832" s="41">
        <f t="shared" si="795"/>
        <v>0</v>
      </c>
      <c r="AB832" s="41">
        <f t="shared" si="796"/>
        <v>0</v>
      </c>
      <c r="AC832" s="41">
        <f t="shared" si="797"/>
        <v>0</v>
      </c>
      <c r="AD832" s="31"/>
      <c r="AE832" s="21">
        <f t="shared" si="798"/>
        <v>0</v>
      </c>
      <c r="AF832" s="21">
        <f t="shared" si="799"/>
        <v>0</v>
      </c>
      <c r="AG832" s="21">
        <f t="shared" si="800"/>
        <v>0</v>
      </c>
      <c r="AI832" s="41">
        <v>21</v>
      </c>
      <c r="AJ832" s="41">
        <f t="shared" si="801"/>
        <v>0</v>
      </c>
      <c r="AK832" s="41">
        <f t="shared" si="802"/>
        <v>0</v>
      </c>
      <c r="AL832" s="42" t="s">
        <v>8</v>
      </c>
      <c r="AQ832" s="41">
        <f t="shared" si="803"/>
        <v>0</v>
      </c>
      <c r="AR832" s="41">
        <f t="shared" si="804"/>
        <v>0</v>
      </c>
      <c r="AS832" s="41">
        <f t="shared" si="805"/>
        <v>0</v>
      </c>
      <c r="AT832" s="44" t="s">
        <v>2471</v>
      </c>
      <c r="AU832" s="44" t="s">
        <v>2485</v>
      </c>
      <c r="AV832" s="31" t="s">
        <v>2486</v>
      </c>
      <c r="AX832" s="41">
        <f t="shared" si="806"/>
        <v>0</v>
      </c>
      <c r="AY832" s="41">
        <f t="shared" si="807"/>
        <v>0</v>
      </c>
      <c r="AZ832" s="41">
        <v>0</v>
      </c>
      <c r="BA832" s="41">
        <f t="shared" si="808"/>
        <v>0</v>
      </c>
      <c r="BC832" s="21">
        <f t="shared" si="809"/>
        <v>0</v>
      </c>
      <c r="BD832" s="21">
        <f t="shared" si="810"/>
        <v>0</v>
      </c>
      <c r="BE832" s="21">
        <f t="shared" si="811"/>
        <v>0</v>
      </c>
      <c r="BF832" s="21" t="s">
        <v>2492</v>
      </c>
      <c r="BG832" s="41" t="s">
        <v>1379</v>
      </c>
    </row>
    <row r="833" spans="1:59" x14ac:dyDescent="0.3">
      <c r="A833" s="4" t="s">
        <v>792</v>
      </c>
      <c r="B833" s="13"/>
      <c r="C833" s="13" t="s">
        <v>1410</v>
      </c>
      <c r="D833" s="101" t="s">
        <v>2190</v>
      </c>
      <c r="E833" s="102"/>
      <c r="F833" s="13" t="s">
        <v>2384</v>
      </c>
      <c r="G833" s="21">
        <v>24</v>
      </c>
      <c r="H833" s="21">
        <v>0</v>
      </c>
      <c r="I833" s="21">
        <f t="shared" si="786"/>
        <v>0</v>
      </c>
      <c r="J833" s="21">
        <f t="shared" si="787"/>
        <v>0</v>
      </c>
      <c r="K833" s="21">
        <f t="shared" si="788"/>
        <v>0</v>
      </c>
      <c r="L833" s="21">
        <v>0</v>
      </c>
      <c r="M833" s="21">
        <f t="shared" si="789"/>
        <v>0</v>
      </c>
      <c r="N833" s="35"/>
      <c r="O833" s="39"/>
      <c r="U833" s="41">
        <f t="shared" si="790"/>
        <v>0</v>
      </c>
      <c r="W833" s="41">
        <f t="shared" si="791"/>
        <v>0</v>
      </c>
      <c r="X833" s="41">
        <f t="shared" si="792"/>
        <v>0</v>
      </c>
      <c r="Y833" s="41">
        <f t="shared" si="793"/>
        <v>0</v>
      </c>
      <c r="Z833" s="41">
        <f t="shared" si="794"/>
        <v>0</v>
      </c>
      <c r="AA833" s="41">
        <f t="shared" si="795"/>
        <v>0</v>
      </c>
      <c r="AB833" s="41">
        <f t="shared" si="796"/>
        <v>0</v>
      </c>
      <c r="AC833" s="41">
        <f t="shared" si="797"/>
        <v>0</v>
      </c>
      <c r="AD833" s="31"/>
      <c r="AE833" s="21">
        <f t="shared" si="798"/>
        <v>0</v>
      </c>
      <c r="AF833" s="21">
        <f t="shared" si="799"/>
        <v>0</v>
      </c>
      <c r="AG833" s="21">
        <f t="shared" si="800"/>
        <v>0</v>
      </c>
      <c r="AI833" s="41">
        <v>21</v>
      </c>
      <c r="AJ833" s="41">
        <f t="shared" si="801"/>
        <v>0</v>
      </c>
      <c r="AK833" s="41">
        <f t="shared" si="802"/>
        <v>0</v>
      </c>
      <c r="AL833" s="42" t="s">
        <v>8</v>
      </c>
      <c r="AQ833" s="41">
        <f t="shared" si="803"/>
        <v>0</v>
      </c>
      <c r="AR833" s="41">
        <f t="shared" si="804"/>
        <v>0</v>
      </c>
      <c r="AS833" s="41">
        <f t="shared" si="805"/>
        <v>0</v>
      </c>
      <c r="AT833" s="44" t="s">
        <v>2471</v>
      </c>
      <c r="AU833" s="44" t="s">
        <v>2485</v>
      </c>
      <c r="AV833" s="31" t="s">
        <v>2486</v>
      </c>
      <c r="AX833" s="41">
        <f t="shared" si="806"/>
        <v>0</v>
      </c>
      <c r="AY833" s="41">
        <f t="shared" si="807"/>
        <v>0</v>
      </c>
      <c r="AZ833" s="41">
        <v>0</v>
      </c>
      <c r="BA833" s="41">
        <f t="shared" si="808"/>
        <v>0</v>
      </c>
      <c r="BC833" s="21">
        <f t="shared" si="809"/>
        <v>0</v>
      </c>
      <c r="BD833" s="21">
        <f t="shared" si="810"/>
        <v>0</v>
      </c>
      <c r="BE833" s="21">
        <f t="shared" si="811"/>
        <v>0</v>
      </c>
      <c r="BF833" s="21" t="s">
        <v>2492</v>
      </c>
      <c r="BG833" s="41" t="s">
        <v>1379</v>
      </c>
    </row>
    <row r="834" spans="1:59" x14ac:dyDescent="0.3">
      <c r="A834" s="4" t="s">
        <v>793</v>
      </c>
      <c r="B834" s="13"/>
      <c r="C834" s="13" t="s">
        <v>1411</v>
      </c>
      <c r="D834" s="101" t="s">
        <v>2198</v>
      </c>
      <c r="E834" s="102"/>
      <c r="F834" s="13" t="s">
        <v>2384</v>
      </c>
      <c r="G834" s="21">
        <v>48</v>
      </c>
      <c r="H834" s="21">
        <v>0</v>
      </c>
      <c r="I834" s="21">
        <f t="shared" si="786"/>
        <v>0</v>
      </c>
      <c r="J834" s="21">
        <f t="shared" si="787"/>
        <v>0</v>
      </c>
      <c r="K834" s="21">
        <f t="shared" si="788"/>
        <v>0</v>
      </c>
      <c r="L834" s="21">
        <v>0</v>
      </c>
      <c r="M834" s="21">
        <f t="shared" si="789"/>
        <v>0</v>
      </c>
      <c r="N834" s="35"/>
      <c r="O834" s="39"/>
      <c r="U834" s="41">
        <f t="shared" si="790"/>
        <v>0</v>
      </c>
      <c r="W834" s="41">
        <f t="shared" si="791"/>
        <v>0</v>
      </c>
      <c r="X834" s="41">
        <f t="shared" si="792"/>
        <v>0</v>
      </c>
      <c r="Y834" s="41">
        <f t="shared" si="793"/>
        <v>0</v>
      </c>
      <c r="Z834" s="41">
        <f t="shared" si="794"/>
        <v>0</v>
      </c>
      <c r="AA834" s="41">
        <f t="shared" si="795"/>
        <v>0</v>
      </c>
      <c r="AB834" s="41">
        <f t="shared" si="796"/>
        <v>0</v>
      </c>
      <c r="AC834" s="41">
        <f t="shared" si="797"/>
        <v>0</v>
      </c>
      <c r="AD834" s="31"/>
      <c r="AE834" s="21">
        <f t="shared" si="798"/>
        <v>0</v>
      </c>
      <c r="AF834" s="21">
        <f t="shared" si="799"/>
        <v>0</v>
      </c>
      <c r="AG834" s="21">
        <f t="shared" si="800"/>
        <v>0</v>
      </c>
      <c r="AI834" s="41">
        <v>21</v>
      </c>
      <c r="AJ834" s="41">
        <f t="shared" si="801"/>
        <v>0</v>
      </c>
      <c r="AK834" s="41">
        <f t="shared" si="802"/>
        <v>0</v>
      </c>
      <c r="AL834" s="42" t="s">
        <v>8</v>
      </c>
      <c r="AQ834" s="41">
        <f t="shared" si="803"/>
        <v>0</v>
      </c>
      <c r="AR834" s="41">
        <f t="shared" si="804"/>
        <v>0</v>
      </c>
      <c r="AS834" s="41">
        <f t="shared" si="805"/>
        <v>0</v>
      </c>
      <c r="AT834" s="44" t="s">
        <v>2471</v>
      </c>
      <c r="AU834" s="44" t="s">
        <v>2485</v>
      </c>
      <c r="AV834" s="31" t="s">
        <v>2486</v>
      </c>
      <c r="AX834" s="41">
        <f t="shared" si="806"/>
        <v>0</v>
      </c>
      <c r="AY834" s="41">
        <f t="shared" si="807"/>
        <v>0</v>
      </c>
      <c r="AZ834" s="41">
        <v>0</v>
      </c>
      <c r="BA834" s="41">
        <f t="shared" si="808"/>
        <v>0</v>
      </c>
      <c r="BC834" s="21">
        <f t="shared" si="809"/>
        <v>0</v>
      </c>
      <c r="BD834" s="21">
        <f t="shared" si="810"/>
        <v>0</v>
      </c>
      <c r="BE834" s="21">
        <f t="shared" si="811"/>
        <v>0</v>
      </c>
      <c r="BF834" s="21" t="s">
        <v>2492</v>
      </c>
      <c r="BG834" s="41" t="s">
        <v>1379</v>
      </c>
    </row>
    <row r="835" spans="1:59" x14ac:dyDescent="0.3">
      <c r="A835" s="4" t="s">
        <v>794</v>
      </c>
      <c r="B835" s="13"/>
      <c r="C835" s="13" t="s">
        <v>1412</v>
      </c>
      <c r="D835" s="101" t="s">
        <v>2199</v>
      </c>
      <c r="E835" s="102"/>
      <c r="F835" s="13" t="s">
        <v>2384</v>
      </c>
      <c r="G835" s="21">
        <v>6</v>
      </c>
      <c r="H835" s="21">
        <v>0</v>
      </c>
      <c r="I835" s="21">
        <f t="shared" ref="I835:I861" si="812">G835*AJ835</f>
        <v>0</v>
      </c>
      <c r="J835" s="21">
        <f t="shared" ref="J835:J861" si="813">G835*AK835</f>
        <v>0</v>
      </c>
      <c r="K835" s="21">
        <f t="shared" ref="K835:K861" si="814">G835*H835</f>
        <v>0</v>
      </c>
      <c r="L835" s="21">
        <v>0</v>
      </c>
      <c r="M835" s="21">
        <f t="shared" ref="M835:M861" si="815">G835*L835</f>
        <v>0</v>
      </c>
      <c r="N835" s="35"/>
      <c r="O835" s="39"/>
      <c r="U835" s="41">
        <f t="shared" ref="U835:U861" si="816">IF(AL835="5",BE835,0)</f>
        <v>0</v>
      </c>
      <c r="W835" s="41">
        <f t="shared" ref="W835:W861" si="817">IF(AL835="1",BC835,0)</f>
        <v>0</v>
      </c>
      <c r="X835" s="41">
        <f t="shared" ref="X835:X861" si="818">IF(AL835="1",BD835,0)</f>
        <v>0</v>
      </c>
      <c r="Y835" s="41">
        <f t="shared" ref="Y835:Y861" si="819">IF(AL835="7",BC835,0)</f>
        <v>0</v>
      </c>
      <c r="Z835" s="41">
        <f t="shared" ref="Z835:Z861" si="820">IF(AL835="7",BD835,0)</f>
        <v>0</v>
      </c>
      <c r="AA835" s="41">
        <f t="shared" ref="AA835:AA861" si="821">IF(AL835="2",BC835,0)</f>
        <v>0</v>
      </c>
      <c r="AB835" s="41">
        <f t="shared" ref="AB835:AB861" si="822">IF(AL835="2",BD835,0)</f>
        <v>0</v>
      </c>
      <c r="AC835" s="41">
        <f t="shared" ref="AC835:AC861" si="823">IF(AL835="0",BE835,0)</f>
        <v>0</v>
      </c>
      <c r="AD835" s="31"/>
      <c r="AE835" s="21">
        <f t="shared" ref="AE835:AE861" si="824">IF(AI835=0,K835,0)</f>
        <v>0</v>
      </c>
      <c r="AF835" s="21">
        <f t="shared" ref="AF835:AF861" si="825">IF(AI835=15,K835,0)</f>
        <v>0</v>
      </c>
      <c r="AG835" s="21">
        <f t="shared" ref="AG835:AG861" si="826">IF(AI835=21,K835,0)</f>
        <v>0</v>
      </c>
      <c r="AI835" s="41">
        <v>21</v>
      </c>
      <c r="AJ835" s="41">
        <f t="shared" ref="AJ835:AJ854" si="827">H835*0</f>
        <v>0</v>
      </c>
      <c r="AK835" s="41">
        <f t="shared" ref="AK835:AK854" si="828">H835*(1-0)</f>
        <v>0</v>
      </c>
      <c r="AL835" s="42" t="s">
        <v>8</v>
      </c>
      <c r="AQ835" s="41">
        <f t="shared" ref="AQ835:AQ861" si="829">AR835+AS835</f>
        <v>0</v>
      </c>
      <c r="AR835" s="41">
        <f t="shared" ref="AR835:AR861" si="830">G835*AJ835</f>
        <v>0</v>
      </c>
      <c r="AS835" s="41">
        <f t="shared" ref="AS835:AS861" si="831">G835*AK835</f>
        <v>0</v>
      </c>
      <c r="AT835" s="44" t="s">
        <v>2471</v>
      </c>
      <c r="AU835" s="44" t="s">
        <v>2485</v>
      </c>
      <c r="AV835" s="31" t="s">
        <v>2486</v>
      </c>
      <c r="AX835" s="41">
        <f t="shared" ref="AX835:AX861" si="832">AR835+AS835</f>
        <v>0</v>
      </c>
      <c r="AY835" s="41">
        <f t="shared" ref="AY835:AY861" si="833">H835/(100-AZ835)*100</f>
        <v>0</v>
      </c>
      <c r="AZ835" s="41">
        <v>0</v>
      </c>
      <c r="BA835" s="41">
        <f t="shared" ref="BA835:BA861" si="834">M835</f>
        <v>0</v>
      </c>
      <c r="BC835" s="21">
        <f t="shared" ref="BC835:BC861" si="835">G835*AJ835</f>
        <v>0</v>
      </c>
      <c r="BD835" s="21">
        <f t="shared" ref="BD835:BD861" si="836">G835*AK835</f>
        <v>0</v>
      </c>
      <c r="BE835" s="21">
        <f t="shared" ref="BE835:BE861" si="837">G835*H835</f>
        <v>0</v>
      </c>
      <c r="BF835" s="21" t="s">
        <v>2492</v>
      </c>
      <c r="BG835" s="41" t="s">
        <v>1379</v>
      </c>
    </row>
    <row r="836" spans="1:59" x14ac:dyDescent="0.3">
      <c r="A836" s="4" t="s">
        <v>795</v>
      </c>
      <c r="B836" s="13"/>
      <c r="C836" s="13" t="s">
        <v>1413</v>
      </c>
      <c r="D836" s="101" t="s">
        <v>2200</v>
      </c>
      <c r="E836" s="102"/>
      <c r="F836" s="13" t="s">
        <v>2384</v>
      </c>
      <c r="G836" s="21">
        <v>23</v>
      </c>
      <c r="H836" s="21">
        <v>0</v>
      </c>
      <c r="I836" s="21">
        <f t="shared" si="812"/>
        <v>0</v>
      </c>
      <c r="J836" s="21">
        <f t="shared" si="813"/>
        <v>0</v>
      </c>
      <c r="K836" s="21">
        <f t="shared" si="814"/>
        <v>0</v>
      </c>
      <c r="L836" s="21">
        <v>0</v>
      </c>
      <c r="M836" s="21">
        <f t="shared" si="815"/>
        <v>0</v>
      </c>
      <c r="N836" s="35"/>
      <c r="O836" s="39"/>
      <c r="U836" s="41">
        <f t="shared" si="816"/>
        <v>0</v>
      </c>
      <c r="W836" s="41">
        <f t="shared" si="817"/>
        <v>0</v>
      </c>
      <c r="X836" s="41">
        <f t="shared" si="818"/>
        <v>0</v>
      </c>
      <c r="Y836" s="41">
        <f t="shared" si="819"/>
        <v>0</v>
      </c>
      <c r="Z836" s="41">
        <f t="shared" si="820"/>
        <v>0</v>
      </c>
      <c r="AA836" s="41">
        <f t="shared" si="821"/>
        <v>0</v>
      </c>
      <c r="AB836" s="41">
        <f t="shared" si="822"/>
        <v>0</v>
      </c>
      <c r="AC836" s="41">
        <f t="shared" si="823"/>
        <v>0</v>
      </c>
      <c r="AD836" s="31"/>
      <c r="AE836" s="21">
        <f t="shared" si="824"/>
        <v>0</v>
      </c>
      <c r="AF836" s="21">
        <f t="shared" si="825"/>
        <v>0</v>
      </c>
      <c r="AG836" s="21">
        <f t="shared" si="826"/>
        <v>0</v>
      </c>
      <c r="AI836" s="41">
        <v>21</v>
      </c>
      <c r="AJ836" s="41">
        <f t="shared" si="827"/>
        <v>0</v>
      </c>
      <c r="AK836" s="41">
        <f t="shared" si="828"/>
        <v>0</v>
      </c>
      <c r="AL836" s="42" t="s">
        <v>8</v>
      </c>
      <c r="AQ836" s="41">
        <f t="shared" si="829"/>
        <v>0</v>
      </c>
      <c r="AR836" s="41">
        <f t="shared" si="830"/>
        <v>0</v>
      </c>
      <c r="AS836" s="41">
        <f t="shared" si="831"/>
        <v>0</v>
      </c>
      <c r="AT836" s="44" t="s">
        <v>2471</v>
      </c>
      <c r="AU836" s="44" t="s">
        <v>2485</v>
      </c>
      <c r="AV836" s="31" t="s">
        <v>2486</v>
      </c>
      <c r="AX836" s="41">
        <f t="shared" si="832"/>
        <v>0</v>
      </c>
      <c r="AY836" s="41">
        <f t="shared" si="833"/>
        <v>0</v>
      </c>
      <c r="AZ836" s="41">
        <v>0</v>
      </c>
      <c r="BA836" s="41">
        <f t="shared" si="834"/>
        <v>0</v>
      </c>
      <c r="BC836" s="21">
        <f t="shared" si="835"/>
        <v>0</v>
      </c>
      <c r="BD836" s="21">
        <f t="shared" si="836"/>
        <v>0</v>
      </c>
      <c r="BE836" s="21">
        <f t="shared" si="837"/>
        <v>0</v>
      </c>
      <c r="BF836" s="21" t="s">
        <v>2492</v>
      </c>
      <c r="BG836" s="41" t="s">
        <v>1379</v>
      </c>
    </row>
    <row r="837" spans="1:59" x14ac:dyDescent="0.3">
      <c r="A837" s="4" t="s">
        <v>796</v>
      </c>
      <c r="B837" s="13"/>
      <c r="C837" s="13" t="s">
        <v>1414</v>
      </c>
      <c r="D837" s="101" t="s">
        <v>2201</v>
      </c>
      <c r="E837" s="102"/>
      <c r="F837" s="13" t="s">
        <v>2384</v>
      </c>
      <c r="G837" s="21">
        <v>110</v>
      </c>
      <c r="H837" s="21">
        <v>0</v>
      </c>
      <c r="I837" s="21">
        <f t="shared" si="812"/>
        <v>0</v>
      </c>
      <c r="J837" s="21">
        <f t="shared" si="813"/>
        <v>0</v>
      </c>
      <c r="K837" s="21">
        <f t="shared" si="814"/>
        <v>0</v>
      </c>
      <c r="L837" s="21">
        <v>0</v>
      </c>
      <c r="M837" s="21">
        <f t="shared" si="815"/>
        <v>0</v>
      </c>
      <c r="N837" s="35"/>
      <c r="O837" s="39"/>
      <c r="U837" s="41">
        <f t="shared" si="816"/>
        <v>0</v>
      </c>
      <c r="W837" s="41">
        <f t="shared" si="817"/>
        <v>0</v>
      </c>
      <c r="X837" s="41">
        <f t="shared" si="818"/>
        <v>0</v>
      </c>
      <c r="Y837" s="41">
        <f t="shared" si="819"/>
        <v>0</v>
      </c>
      <c r="Z837" s="41">
        <f t="shared" si="820"/>
        <v>0</v>
      </c>
      <c r="AA837" s="41">
        <f t="shared" si="821"/>
        <v>0</v>
      </c>
      <c r="AB837" s="41">
        <f t="shared" si="822"/>
        <v>0</v>
      </c>
      <c r="AC837" s="41">
        <f t="shared" si="823"/>
        <v>0</v>
      </c>
      <c r="AD837" s="31"/>
      <c r="AE837" s="21">
        <f t="shared" si="824"/>
        <v>0</v>
      </c>
      <c r="AF837" s="21">
        <f t="shared" si="825"/>
        <v>0</v>
      </c>
      <c r="AG837" s="21">
        <f t="shared" si="826"/>
        <v>0</v>
      </c>
      <c r="AI837" s="41">
        <v>21</v>
      </c>
      <c r="AJ837" s="41">
        <f t="shared" si="827"/>
        <v>0</v>
      </c>
      <c r="AK837" s="41">
        <f t="shared" si="828"/>
        <v>0</v>
      </c>
      <c r="AL837" s="42" t="s">
        <v>8</v>
      </c>
      <c r="AQ837" s="41">
        <f t="shared" si="829"/>
        <v>0</v>
      </c>
      <c r="AR837" s="41">
        <f t="shared" si="830"/>
        <v>0</v>
      </c>
      <c r="AS837" s="41">
        <f t="shared" si="831"/>
        <v>0</v>
      </c>
      <c r="AT837" s="44" t="s">
        <v>2471</v>
      </c>
      <c r="AU837" s="44" t="s">
        <v>2485</v>
      </c>
      <c r="AV837" s="31" t="s">
        <v>2486</v>
      </c>
      <c r="AX837" s="41">
        <f t="shared" si="832"/>
        <v>0</v>
      </c>
      <c r="AY837" s="41">
        <f t="shared" si="833"/>
        <v>0</v>
      </c>
      <c r="AZ837" s="41">
        <v>0</v>
      </c>
      <c r="BA837" s="41">
        <f t="shared" si="834"/>
        <v>0</v>
      </c>
      <c r="BC837" s="21">
        <f t="shared" si="835"/>
        <v>0</v>
      </c>
      <c r="BD837" s="21">
        <f t="shared" si="836"/>
        <v>0</v>
      </c>
      <c r="BE837" s="21">
        <f t="shared" si="837"/>
        <v>0</v>
      </c>
      <c r="BF837" s="21" t="s">
        <v>2492</v>
      </c>
      <c r="BG837" s="41" t="s">
        <v>1379</v>
      </c>
    </row>
    <row r="838" spans="1:59" x14ac:dyDescent="0.3">
      <c r="A838" s="4" t="s">
        <v>797</v>
      </c>
      <c r="B838" s="13"/>
      <c r="C838" s="13" t="s">
        <v>1415</v>
      </c>
      <c r="D838" s="101" t="s">
        <v>2202</v>
      </c>
      <c r="E838" s="102"/>
      <c r="F838" s="13" t="s">
        <v>2384</v>
      </c>
      <c r="G838" s="21">
        <v>14</v>
      </c>
      <c r="H838" s="21">
        <v>0</v>
      </c>
      <c r="I838" s="21">
        <f t="shared" si="812"/>
        <v>0</v>
      </c>
      <c r="J838" s="21">
        <f t="shared" si="813"/>
        <v>0</v>
      </c>
      <c r="K838" s="21">
        <f t="shared" si="814"/>
        <v>0</v>
      </c>
      <c r="L838" s="21">
        <v>0</v>
      </c>
      <c r="M838" s="21">
        <f t="shared" si="815"/>
        <v>0</v>
      </c>
      <c r="N838" s="35"/>
      <c r="O838" s="39"/>
      <c r="U838" s="41">
        <f t="shared" si="816"/>
        <v>0</v>
      </c>
      <c r="W838" s="41">
        <f t="shared" si="817"/>
        <v>0</v>
      </c>
      <c r="X838" s="41">
        <f t="shared" si="818"/>
        <v>0</v>
      </c>
      <c r="Y838" s="41">
        <f t="shared" si="819"/>
        <v>0</v>
      </c>
      <c r="Z838" s="41">
        <f t="shared" si="820"/>
        <v>0</v>
      </c>
      <c r="AA838" s="41">
        <f t="shared" si="821"/>
        <v>0</v>
      </c>
      <c r="AB838" s="41">
        <f t="shared" si="822"/>
        <v>0</v>
      </c>
      <c r="AC838" s="41">
        <f t="shared" si="823"/>
        <v>0</v>
      </c>
      <c r="AD838" s="31"/>
      <c r="AE838" s="21">
        <f t="shared" si="824"/>
        <v>0</v>
      </c>
      <c r="AF838" s="21">
        <f t="shared" si="825"/>
        <v>0</v>
      </c>
      <c r="AG838" s="21">
        <f t="shared" si="826"/>
        <v>0</v>
      </c>
      <c r="AI838" s="41">
        <v>21</v>
      </c>
      <c r="AJ838" s="41">
        <f t="shared" si="827"/>
        <v>0</v>
      </c>
      <c r="AK838" s="41">
        <f t="shared" si="828"/>
        <v>0</v>
      </c>
      <c r="AL838" s="42" t="s">
        <v>8</v>
      </c>
      <c r="AQ838" s="41">
        <f t="shared" si="829"/>
        <v>0</v>
      </c>
      <c r="AR838" s="41">
        <f t="shared" si="830"/>
        <v>0</v>
      </c>
      <c r="AS838" s="41">
        <f t="shared" si="831"/>
        <v>0</v>
      </c>
      <c r="AT838" s="44" t="s">
        <v>2471</v>
      </c>
      <c r="AU838" s="44" t="s">
        <v>2485</v>
      </c>
      <c r="AV838" s="31" t="s">
        <v>2486</v>
      </c>
      <c r="AX838" s="41">
        <f t="shared" si="832"/>
        <v>0</v>
      </c>
      <c r="AY838" s="41">
        <f t="shared" si="833"/>
        <v>0</v>
      </c>
      <c r="AZ838" s="41">
        <v>0</v>
      </c>
      <c r="BA838" s="41">
        <f t="shared" si="834"/>
        <v>0</v>
      </c>
      <c r="BC838" s="21">
        <f t="shared" si="835"/>
        <v>0</v>
      </c>
      <c r="BD838" s="21">
        <f t="shared" si="836"/>
        <v>0</v>
      </c>
      <c r="BE838" s="21">
        <f t="shared" si="837"/>
        <v>0</v>
      </c>
      <c r="BF838" s="21" t="s">
        <v>2492</v>
      </c>
      <c r="BG838" s="41" t="s">
        <v>1379</v>
      </c>
    </row>
    <row r="839" spans="1:59" x14ac:dyDescent="0.3">
      <c r="A839" s="4" t="s">
        <v>798</v>
      </c>
      <c r="B839" s="13"/>
      <c r="C839" s="13" t="s">
        <v>1416</v>
      </c>
      <c r="D839" s="101" t="s">
        <v>2203</v>
      </c>
      <c r="E839" s="102"/>
      <c r="F839" s="13" t="s">
        <v>2384</v>
      </c>
      <c r="G839" s="21">
        <v>33</v>
      </c>
      <c r="H839" s="21">
        <v>0</v>
      </c>
      <c r="I839" s="21">
        <f t="shared" si="812"/>
        <v>0</v>
      </c>
      <c r="J839" s="21">
        <f t="shared" si="813"/>
        <v>0</v>
      </c>
      <c r="K839" s="21">
        <f t="shared" si="814"/>
        <v>0</v>
      </c>
      <c r="L839" s="21">
        <v>0</v>
      </c>
      <c r="M839" s="21">
        <f t="shared" si="815"/>
        <v>0</v>
      </c>
      <c r="N839" s="35"/>
      <c r="O839" s="39"/>
      <c r="U839" s="41">
        <f t="shared" si="816"/>
        <v>0</v>
      </c>
      <c r="W839" s="41">
        <f t="shared" si="817"/>
        <v>0</v>
      </c>
      <c r="X839" s="41">
        <f t="shared" si="818"/>
        <v>0</v>
      </c>
      <c r="Y839" s="41">
        <f t="shared" si="819"/>
        <v>0</v>
      </c>
      <c r="Z839" s="41">
        <f t="shared" si="820"/>
        <v>0</v>
      </c>
      <c r="AA839" s="41">
        <f t="shared" si="821"/>
        <v>0</v>
      </c>
      <c r="AB839" s="41">
        <f t="shared" si="822"/>
        <v>0</v>
      </c>
      <c r="AC839" s="41">
        <f t="shared" si="823"/>
        <v>0</v>
      </c>
      <c r="AD839" s="31"/>
      <c r="AE839" s="21">
        <f t="shared" si="824"/>
        <v>0</v>
      </c>
      <c r="AF839" s="21">
        <f t="shared" si="825"/>
        <v>0</v>
      </c>
      <c r="AG839" s="21">
        <f t="shared" si="826"/>
        <v>0</v>
      </c>
      <c r="AI839" s="41">
        <v>21</v>
      </c>
      <c r="AJ839" s="41">
        <f t="shared" si="827"/>
        <v>0</v>
      </c>
      <c r="AK839" s="41">
        <f t="shared" si="828"/>
        <v>0</v>
      </c>
      <c r="AL839" s="42" t="s">
        <v>8</v>
      </c>
      <c r="AQ839" s="41">
        <f t="shared" si="829"/>
        <v>0</v>
      </c>
      <c r="AR839" s="41">
        <f t="shared" si="830"/>
        <v>0</v>
      </c>
      <c r="AS839" s="41">
        <f t="shared" si="831"/>
        <v>0</v>
      </c>
      <c r="AT839" s="44" t="s">
        <v>2471</v>
      </c>
      <c r="AU839" s="44" t="s">
        <v>2485</v>
      </c>
      <c r="AV839" s="31" t="s">
        <v>2486</v>
      </c>
      <c r="AX839" s="41">
        <f t="shared" si="832"/>
        <v>0</v>
      </c>
      <c r="AY839" s="41">
        <f t="shared" si="833"/>
        <v>0</v>
      </c>
      <c r="AZ839" s="41">
        <v>0</v>
      </c>
      <c r="BA839" s="41">
        <f t="shared" si="834"/>
        <v>0</v>
      </c>
      <c r="BC839" s="21">
        <f t="shared" si="835"/>
        <v>0</v>
      </c>
      <c r="BD839" s="21">
        <f t="shared" si="836"/>
        <v>0</v>
      </c>
      <c r="BE839" s="21">
        <f t="shared" si="837"/>
        <v>0</v>
      </c>
      <c r="BF839" s="21" t="s">
        <v>2492</v>
      </c>
      <c r="BG839" s="41" t="s">
        <v>1379</v>
      </c>
    </row>
    <row r="840" spans="1:59" x14ac:dyDescent="0.3">
      <c r="A840" s="4" t="s">
        <v>799</v>
      </c>
      <c r="B840" s="13"/>
      <c r="C840" s="13" t="s">
        <v>1417</v>
      </c>
      <c r="D840" s="101" t="s">
        <v>2204</v>
      </c>
      <c r="E840" s="102"/>
      <c r="F840" s="13" t="s">
        <v>2384</v>
      </c>
      <c r="G840" s="21">
        <v>284</v>
      </c>
      <c r="H840" s="21">
        <v>0</v>
      </c>
      <c r="I840" s="21">
        <f t="shared" si="812"/>
        <v>0</v>
      </c>
      <c r="J840" s="21">
        <f t="shared" si="813"/>
        <v>0</v>
      </c>
      <c r="K840" s="21">
        <f t="shared" si="814"/>
        <v>0</v>
      </c>
      <c r="L840" s="21">
        <v>0</v>
      </c>
      <c r="M840" s="21">
        <f t="shared" si="815"/>
        <v>0</v>
      </c>
      <c r="N840" s="35"/>
      <c r="O840" s="39"/>
      <c r="U840" s="41">
        <f t="shared" si="816"/>
        <v>0</v>
      </c>
      <c r="W840" s="41">
        <f t="shared" si="817"/>
        <v>0</v>
      </c>
      <c r="X840" s="41">
        <f t="shared" si="818"/>
        <v>0</v>
      </c>
      <c r="Y840" s="41">
        <f t="shared" si="819"/>
        <v>0</v>
      </c>
      <c r="Z840" s="41">
        <f t="shared" si="820"/>
        <v>0</v>
      </c>
      <c r="AA840" s="41">
        <f t="shared" si="821"/>
        <v>0</v>
      </c>
      <c r="AB840" s="41">
        <f t="shared" si="822"/>
        <v>0</v>
      </c>
      <c r="AC840" s="41">
        <f t="shared" si="823"/>
        <v>0</v>
      </c>
      <c r="AD840" s="31"/>
      <c r="AE840" s="21">
        <f t="shared" si="824"/>
        <v>0</v>
      </c>
      <c r="AF840" s="21">
        <f t="shared" si="825"/>
        <v>0</v>
      </c>
      <c r="AG840" s="21">
        <f t="shared" si="826"/>
        <v>0</v>
      </c>
      <c r="AI840" s="41">
        <v>21</v>
      </c>
      <c r="AJ840" s="41">
        <f t="shared" si="827"/>
        <v>0</v>
      </c>
      <c r="AK840" s="41">
        <f t="shared" si="828"/>
        <v>0</v>
      </c>
      <c r="AL840" s="42" t="s">
        <v>8</v>
      </c>
      <c r="AQ840" s="41">
        <f t="shared" si="829"/>
        <v>0</v>
      </c>
      <c r="AR840" s="41">
        <f t="shared" si="830"/>
        <v>0</v>
      </c>
      <c r="AS840" s="41">
        <f t="shared" si="831"/>
        <v>0</v>
      </c>
      <c r="AT840" s="44" t="s">
        <v>2471</v>
      </c>
      <c r="AU840" s="44" t="s">
        <v>2485</v>
      </c>
      <c r="AV840" s="31" t="s">
        <v>2486</v>
      </c>
      <c r="AX840" s="41">
        <f t="shared" si="832"/>
        <v>0</v>
      </c>
      <c r="AY840" s="41">
        <f t="shared" si="833"/>
        <v>0</v>
      </c>
      <c r="AZ840" s="41">
        <v>0</v>
      </c>
      <c r="BA840" s="41">
        <f t="shared" si="834"/>
        <v>0</v>
      </c>
      <c r="BC840" s="21">
        <f t="shared" si="835"/>
        <v>0</v>
      </c>
      <c r="BD840" s="21">
        <f t="shared" si="836"/>
        <v>0</v>
      </c>
      <c r="BE840" s="21">
        <f t="shared" si="837"/>
        <v>0</v>
      </c>
      <c r="BF840" s="21" t="s">
        <v>2492</v>
      </c>
      <c r="BG840" s="41" t="s">
        <v>1379</v>
      </c>
    </row>
    <row r="841" spans="1:59" x14ac:dyDescent="0.3">
      <c r="A841" s="4" t="s">
        <v>800</v>
      </c>
      <c r="B841" s="13"/>
      <c r="C841" s="13" t="s">
        <v>1418</v>
      </c>
      <c r="D841" s="101" t="s">
        <v>2205</v>
      </c>
      <c r="E841" s="102"/>
      <c r="F841" s="13" t="s">
        <v>2384</v>
      </c>
      <c r="G841" s="21">
        <v>113</v>
      </c>
      <c r="H841" s="21">
        <v>0</v>
      </c>
      <c r="I841" s="21">
        <f t="shared" si="812"/>
        <v>0</v>
      </c>
      <c r="J841" s="21">
        <f t="shared" si="813"/>
        <v>0</v>
      </c>
      <c r="K841" s="21">
        <f t="shared" si="814"/>
        <v>0</v>
      </c>
      <c r="L841" s="21">
        <v>0</v>
      </c>
      <c r="M841" s="21">
        <f t="shared" si="815"/>
        <v>0</v>
      </c>
      <c r="N841" s="35"/>
      <c r="O841" s="39"/>
      <c r="U841" s="41">
        <f t="shared" si="816"/>
        <v>0</v>
      </c>
      <c r="W841" s="41">
        <f t="shared" si="817"/>
        <v>0</v>
      </c>
      <c r="X841" s="41">
        <f t="shared" si="818"/>
        <v>0</v>
      </c>
      <c r="Y841" s="41">
        <f t="shared" si="819"/>
        <v>0</v>
      </c>
      <c r="Z841" s="41">
        <f t="shared" si="820"/>
        <v>0</v>
      </c>
      <c r="AA841" s="41">
        <f t="shared" si="821"/>
        <v>0</v>
      </c>
      <c r="AB841" s="41">
        <f t="shared" si="822"/>
        <v>0</v>
      </c>
      <c r="AC841" s="41">
        <f t="shared" si="823"/>
        <v>0</v>
      </c>
      <c r="AD841" s="31"/>
      <c r="AE841" s="21">
        <f t="shared" si="824"/>
        <v>0</v>
      </c>
      <c r="AF841" s="21">
        <f t="shared" si="825"/>
        <v>0</v>
      </c>
      <c r="AG841" s="21">
        <f t="shared" si="826"/>
        <v>0</v>
      </c>
      <c r="AI841" s="41">
        <v>21</v>
      </c>
      <c r="AJ841" s="41">
        <f t="shared" si="827"/>
        <v>0</v>
      </c>
      <c r="AK841" s="41">
        <f t="shared" si="828"/>
        <v>0</v>
      </c>
      <c r="AL841" s="42" t="s">
        <v>8</v>
      </c>
      <c r="AQ841" s="41">
        <f t="shared" si="829"/>
        <v>0</v>
      </c>
      <c r="AR841" s="41">
        <f t="shared" si="830"/>
        <v>0</v>
      </c>
      <c r="AS841" s="41">
        <f t="shared" si="831"/>
        <v>0</v>
      </c>
      <c r="AT841" s="44" t="s">
        <v>2471</v>
      </c>
      <c r="AU841" s="44" t="s">
        <v>2485</v>
      </c>
      <c r="AV841" s="31" t="s">
        <v>2486</v>
      </c>
      <c r="AX841" s="41">
        <f t="shared" si="832"/>
        <v>0</v>
      </c>
      <c r="AY841" s="41">
        <f t="shared" si="833"/>
        <v>0</v>
      </c>
      <c r="AZ841" s="41">
        <v>0</v>
      </c>
      <c r="BA841" s="41">
        <f t="shared" si="834"/>
        <v>0</v>
      </c>
      <c r="BC841" s="21">
        <f t="shared" si="835"/>
        <v>0</v>
      </c>
      <c r="BD841" s="21">
        <f t="shared" si="836"/>
        <v>0</v>
      </c>
      <c r="BE841" s="21">
        <f t="shared" si="837"/>
        <v>0</v>
      </c>
      <c r="BF841" s="21" t="s">
        <v>2492</v>
      </c>
      <c r="BG841" s="41" t="s">
        <v>1379</v>
      </c>
    </row>
    <row r="842" spans="1:59" x14ac:dyDescent="0.3">
      <c r="A842" s="4" t="s">
        <v>801</v>
      </c>
      <c r="B842" s="13"/>
      <c r="C842" s="13" t="s">
        <v>1419</v>
      </c>
      <c r="D842" s="101" t="s">
        <v>2206</v>
      </c>
      <c r="E842" s="102"/>
      <c r="F842" s="13" t="s">
        <v>2386</v>
      </c>
      <c r="G842" s="21">
        <v>1</v>
      </c>
      <c r="H842" s="21">
        <v>0</v>
      </c>
      <c r="I842" s="21">
        <f t="shared" si="812"/>
        <v>0</v>
      </c>
      <c r="J842" s="21">
        <f t="shared" si="813"/>
        <v>0</v>
      </c>
      <c r="K842" s="21">
        <f t="shared" si="814"/>
        <v>0</v>
      </c>
      <c r="L842" s="21">
        <v>0</v>
      </c>
      <c r="M842" s="21">
        <f t="shared" si="815"/>
        <v>0</v>
      </c>
      <c r="N842" s="35"/>
      <c r="O842" s="39"/>
      <c r="U842" s="41">
        <f t="shared" si="816"/>
        <v>0</v>
      </c>
      <c r="W842" s="41">
        <f t="shared" si="817"/>
        <v>0</v>
      </c>
      <c r="X842" s="41">
        <f t="shared" si="818"/>
        <v>0</v>
      </c>
      <c r="Y842" s="41">
        <f t="shared" si="819"/>
        <v>0</v>
      </c>
      <c r="Z842" s="41">
        <f t="shared" si="820"/>
        <v>0</v>
      </c>
      <c r="AA842" s="41">
        <f t="shared" si="821"/>
        <v>0</v>
      </c>
      <c r="AB842" s="41">
        <f t="shared" si="822"/>
        <v>0</v>
      </c>
      <c r="AC842" s="41">
        <f t="shared" si="823"/>
        <v>0</v>
      </c>
      <c r="AD842" s="31"/>
      <c r="AE842" s="21">
        <f t="shared" si="824"/>
        <v>0</v>
      </c>
      <c r="AF842" s="21">
        <f t="shared" si="825"/>
        <v>0</v>
      </c>
      <c r="AG842" s="21">
        <f t="shared" si="826"/>
        <v>0</v>
      </c>
      <c r="AI842" s="41">
        <v>21</v>
      </c>
      <c r="AJ842" s="41">
        <f t="shared" si="827"/>
        <v>0</v>
      </c>
      <c r="AK842" s="41">
        <f t="shared" si="828"/>
        <v>0</v>
      </c>
      <c r="AL842" s="42" t="s">
        <v>8</v>
      </c>
      <c r="AQ842" s="41">
        <f t="shared" si="829"/>
        <v>0</v>
      </c>
      <c r="AR842" s="41">
        <f t="shared" si="830"/>
        <v>0</v>
      </c>
      <c r="AS842" s="41">
        <f t="shared" si="831"/>
        <v>0</v>
      </c>
      <c r="AT842" s="44" t="s">
        <v>2471</v>
      </c>
      <c r="AU842" s="44" t="s">
        <v>2485</v>
      </c>
      <c r="AV842" s="31" t="s">
        <v>2486</v>
      </c>
      <c r="AX842" s="41">
        <f t="shared" si="832"/>
        <v>0</v>
      </c>
      <c r="AY842" s="41">
        <f t="shared" si="833"/>
        <v>0</v>
      </c>
      <c r="AZ842" s="41">
        <v>0</v>
      </c>
      <c r="BA842" s="41">
        <f t="shared" si="834"/>
        <v>0</v>
      </c>
      <c r="BC842" s="21">
        <f t="shared" si="835"/>
        <v>0</v>
      </c>
      <c r="BD842" s="21">
        <f t="shared" si="836"/>
        <v>0</v>
      </c>
      <c r="BE842" s="21">
        <f t="shared" si="837"/>
        <v>0</v>
      </c>
      <c r="BF842" s="21" t="s">
        <v>2492</v>
      </c>
      <c r="BG842" s="41" t="s">
        <v>1379</v>
      </c>
    </row>
    <row r="843" spans="1:59" x14ac:dyDescent="0.3">
      <c r="A843" s="4" t="s">
        <v>802</v>
      </c>
      <c r="B843" s="13"/>
      <c r="C843" s="13" t="s">
        <v>1420</v>
      </c>
      <c r="D843" s="101" t="s">
        <v>2207</v>
      </c>
      <c r="E843" s="102"/>
      <c r="F843" s="13" t="s">
        <v>2386</v>
      </c>
      <c r="G843" s="21">
        <v>1</v>
      </c>
      <c r="H843" s="21">
        <v>0</v>
      </c>
      <c r="I843" s="21">
        <f t="shared" si="812"/>
        <v>0</v>
      </c>
      <c r="J843" s="21">
        <f t="shared" si="813"/>
        <v>0</v>
      </c>
      <c r="K843" s="21">
        <f t="shared" si="814"/>
        <v>0</v>
      </c>
      <c r="L843" s="21">
        <v>0</v>
      </c>
      <c r="M843" s="21">
        <f t="shared" si="815"/>
        <v>0</v>
      </c>
      <c r="N843" s="35"/>
      <c r="O843" s="39"/>
      <c r="U843" s="41">
        <f t="shared" si="816"/>
        <v>0</v>
      </c>
      <c r="W843" s="41">
        <f t="shared" si="817"/>
        <v>0</v>
      </c>
      <c r="X843" s="41">
        <f t="shared" si="818"/>
        <v>0</v>
      </c>
      <c r="Y843" s="41">
        <f t="shared" si="819"/>
        <v>0</v>
      </c>
      <c r="Z843" s="41">
        <f t="shared" si="820"/>
        <v>0</v>
      </c>
      <c r="AA843" s="41">
        <f t="shared" si="821"/>
        <v>0</v>
      </c>
      <c r="AB843" s="41">
        <f t="shared" si="822"/>
        <v>0</v>
      </c>
      <c r="AC843" s="41">
        <f t="shared" si="823"/>
        <v>0</v>
      </c>
      <c r="AD843" s="31"/>
      <c r="AE843" s="21">
        <f t="shared" si="824"/>
        <v>0</v>
      </c>
      <c r="AF843" s="21">
        <f t="shared" si="825"/>
        <v>0</v>
      </c>
      <c r="AG843" s="21">
        <f t="shared" si="826"/>
        <v>0</v>
      </c>
      <c r="AI843" s="41">
        <v>21</v>
      </c>
      <c r="AJ843" s="41">
        <f t="shared" si="827"/>
        <v>0</v>
      </c>
      <c r="AK843" s="41">
        <f t="shared" si="828"/>
        <v>0</v>
      </c>
      <c r="AL843" s="42" t="s">
        <v>8</v>
      </c>
      <c r="AQ843" s="41">
        <f t="shared" si="829"/>
        <v>0</v>
      </c>
      <c r="AR843" s="41">
        <f t="shared" si="830"/>
        <v>0</v>
      </c>
      <c r="AS843" s="41">
        <f t="shared" si="831"/>
        <v>0</v>
      </c>
      <c r="AT843" s="44" t="s">
        <v>2471</v>
      </c>
      <c r="AU843" s="44" t="s">
        <v>2485</v>
      </c>
      <c r="AV843" s="31" t="s">
        <v>2486</v>
      </c>
      <c r="AX843" s="41">
        <f t="shared" si="832"/>
        <v>0</v>
      </c>
      <c r="AY843" s="41">
        <f t="shared" si="833"/>
        <v>0</v>
      </c>
      <c r="AZ843" s="41">
        <v>0</v>
      </c>
      <c r="BA843" s="41">
        <f t="shared" si="834"/>
        <v>0</v>
      </c>
      <c r="BC843" s="21">
        <f t="shared" si="835"/>
        <v>0</v>
      </c>
      <c r="BD843" s="21">
        <f t="shared" si="836"/>
        <v>0</v>
      </c>
      <c r="BE843" s="21">
        <f t="shared" si="837"/>
        <v>0</v>
      </c>
      <c r="BF843" s="21" t="s">
        <v>2492</v>
      </c>
      <c r="BG843" s="41" t="s">
        <v>1379</v>
      </c>
    </row>
    <row r="844" spans="1:59" x14ac:dyDescent="0.3">
      <c r="A844" s="4" t="s">
        <v>803</v>
      </c>
      <c r="B844" s="13"/>
      <c r="C844" s="13" t="s">
        <v>1421</v>
      </c>
      <c r="D844" s="101" t="s">
        <v>2208</v>
      </c>
      <c r="E844" s="102"/>
      <c r="F844" s="13" t="s">
        <v>2386</v>
      </c>
      <c r="G844" s="21">
        <v>1</v>
      </c>
      <c r="H844" s="21">
        <v>0</v>
      </c>
      <c r="I844" s="21">
        <f t="shared" si="812"/>
        <v>0</v>
      </c>
      <c r="J844" s="21">
        <f t="shared" si="813"/>
        <v>0</v>
      </c>
      <c r="K844" s="21">
        <f t="shared" si="814"/>
        <v>0</v>
      </c>
      <c r="L844" s="21">
        <v>0</v>
      </c>
      <c r="M844" s="21">
        <f t="shared" si="815"/>
        <v>0</v>
      </c>
      <c r="N844" s="35"/>
      <c r="O844" s="39"/>
      <c r="U844" s="41">
        <f t="shared" si="816"/>
        <v>0</v>
      </c>
      <c r="W844" s="41">
        <f t="shared" si="817"/>
        <v>0</v>
      </c>
      <c r="X844" s="41">
        <f t="shared" si="818"/>
        <v>0</v>
      </c>
      <c r="Y844" s="41">
        <f t="shared" si="819"/>
        <v>0</v>
      </c>
      <c r="Z844" s="41">
        <f t="shared" si="820"/>
        <v>0</v>
      </c>
      <c r="AA844" s="41">
        <f t="shared" si="821"/>
        <v>0</v>
      </c>
      <c r="AB844" s="41">
        <f t="shared" si="822"/>
        <v>0</v>
      </c>
      <c r="AC844" s="41">
        <f t="shared" si="823"/>
        <v>0</v>
      </c>
      <c r="AD844" s="31"/>
      <c r="AE844" s="21">
        <f t="shared" si="824"/>
        <v>0</v>
      </c>
      <c r="AF844" s="21">
        <f t="shared" si="825"/>
        <v>0</v>
      </c>
      <c r="AG844" s="21">
        <f t="shared" si="826"/>
        <v>0</v>
      </c>
      <c r="AI844" s="41">
        <v>21</v>
      </c>
      <c r="AJ844" s="41">
        <f t="shared" si="827"/>
        <v>0</v>
      </c>
      <c r="AK844" s="41">
        <f t="shared" si="828"/>
        <v>0</v>
      </c>
      <c r="AL844" s="42" t="s">
        <v>8</v>
      </c>
      <c r="AQ844" s="41">
        <f t="shared" si="829"/>
        <v>0</v>
      </c>
      <c r="AR844" s="41">
        <f t="shared" si="830"/>
        <v>0</v>
      </c>
      <c r="AS844" s="41">
        <f t="shared" si="831"/>
        <v>0</v>
      </c>
      <c r="AT844" s="44" t="s">
        <v>2471</v>
      </c>
      <c r="AU844" s="44" t="s">
        <v>2485</v>
      </c>
      <c r="AV844" s="31" t="s">
        <v>2486</v>
      </c>
      <c r="AX844" s="41">
        <f t="shared" si="832"/>
        <v>0</v>
      </c>
      <c r="AY844" s="41">
        <f t="shared" si="833"/>
        <v>0</v>
      </c>
      <c r="AZ844" s="41">
        <v>0</v>
      </c>
      <c r="BA844" s="41">
        <f t="shared" si="834"/>
        <v>0</v>
      </c>
      <c r="BC844" s="21">
        <f t="shared" si="835"/>
        <v>0</v>
      </c>
      <c r="BD844" s="21">
        <f t="shared" si="836"/>
        <v>0</v>
      </c>
      <c r="BE844" s="21">
        <f t="shared" si="837"/>
        <v>0</v>
      </c>
      <c r="BF844" s="21" t="s">
        <v>2492</v>
      </c>
      <c r="BG844" s="41" t="s">
        <v>1379</v>
      </c>
    </row>
    <row r="845" spans="1:59" x14ac:dyDescent="0.3">
      <c r="A845" s="4" t="s">
        <v>804</v>
      </c>
      <c r="B845" s="13"/>
      <c r="C845" s="13" t="s">
        <v>1422</v>
      </c>
      <c r="D845" s="101" t="s">
        <v>2209</v>
      </c>
      <c r="E845" s="102"/>
      <c r="F845" s="13" t="s">
        <v>2386</v>
      </c>
      <c r="G845" s="21">
        <v>1</v>
      </c>
      <c r="H845" s="21">
        <v>0</v>
      </c>
      <c r="I845" s="21">
        <f t="shared" si="812"/>
        <v>0</v>
      </c>
      <c r="J845" s="21">
        <f t="shared" si="813"/>
        <v>0</v>
      </c>
      <c r="K845" s="21">
        <f t="shared" si="814"/>
        <v>0</v>
      </c>
      <c r="L845" s="21">
        <v>0</v>
      </c>
      <c r="M845" s="21">
        <f t="shared" si="815"/>
        <v>0</v>
      </c>
      <c r="N845" s="35"/>
      <c r="O845" s="39"/>
      <c r="U845" s="41">
        <f t="shared" si="816"/>
        <v>0</v>
      </c>
      <c r="W845" s="41">
        <f t="shared" si="817"/>
        <v>0</v>
      </c>
      <c r="X845" s="41">
        <f t="shared" si="818"/>
        <v>0</v>
      </c>
      <c r="Y845" s="41">
        <f t="shared" si="819"/>
        <v>0</v>
      </c>
      <c r="Z845" s="41">
        <f t="shared" si="820"/>
        <v>0</v>
      </c>
      <c r="AA845" s="41">
        <f t="shared" si="821"/>
        <v>0</v>
      </c>
      <c r="AB845" s="41">
        <f t="shared" si="822"/>
        <v>0</v>
      </c>
      <c r="AC845" s="41">
        <f t="shared" si="823"/>
        <v>0</v>
      </c>
      <c r="AD845" s="31"/>
      <c r="AE845" s="21">
        <f t="shared" si="824"/>
        <v>0</v>
      </c>
      <c r="AF845" s="21">
        <f t="shared" si="825"/>
        <v>0</v>
      </c>
      <c r="AG845" s="21">
        <f t="shared" si="826"/>
        <v>0</v>
      </c>
      <c r="AI845" s="41">
        <v>21</v>
      </c>
      <c r="AJ845" s="41">
        <f t="shared" si="827"/>
        <v>0</v>
      </c>
      <c r="AK845" s="41">
        <f t="shared" si="828"/>
        <v>0</v>
      </c>
      <c r="AL845" s="42" t="s">
        <v>8</v>
      </c>
      <c r="AQ845" s="41">
        <f t="shared" si="829"/>
        <v>0</v>
      </c>
      <c r="AR845" s="41">
        <f t="shared" si="830"/>
        <v>0</v>
      </c>
      <c r="AS845" s="41">
        <f t="shared" si="831"/>
        <v>0</v>
      </c>
      <c r="AT845" s="44" t="s">
        <v>2471</v>
      </c>
      <c r="AU845" s="44" t="s">
        <v>2485</v>
      </c>
      <c r="AV845" s="31" t="s">
        <v>2486</v>
      </c>
      <c r="AX845" s="41">
        <f t="shared" si="832"/>
        <v>0</v>
      </c>
      <c r="AY845" s="41">
        <f t="shared" si="833"/>
        <v>0</v>
      </c>
      <c r="AZ845" s="41">
        <v>0</v>
      </c>
      <c r="BA845" s="41">
        <f t="shared" si="834"/>
        <v>0</v>
      </c>
      <c r="BC845" s="21">
        <f t="shared" si="835"/>
        <v>0</v>
      </c>
      <c r="BD845" s="21">
        <f t="shared" si="836"/>
        <v>0</v>
      </c>
      <c r="BE845" s="21">
        <f t="shared" si="837"/>
        <v>0</v>
      </c>
      <c r="BF845" s="21" t="s">
        <v>2492</v>
      </c>
      <c r="BG845" s="41" t="s">
        <v>1379</v>
      </c>
    </row>
    <row r="846" spans="1:59" x14ac:dyDescent="0.3">
      <c r="A846" s="4" t="s">
        <v>805</v>
      </c>
      <c r="B846" s="13"/>
      <c r="C846" s="13" t="s">
        <v>1423</v>
      </c>
      <c r="D846" s="101" t="s">
        <v>2210</v>
      </c>
      <c r="E846" s="102"/>
      <c r="F846" s="13" t="s">
        <v>2386</v>
      </c>
      <c r="G846" s="21">
        <v>1</v>
      </c>
      <c r="H846" s="21">
        <v>0</v>
      </c>
      <c r="I846" s="21">
        <f t="shared" si="812"/>
        <v>0</v>
      </c>
      <c r="J846" s="21">
        <f t="shared" si="813"/>
        <v>0</v>
      </c>
      <c r="K846" s="21">
        <f t="shared" si="814"/>
        <v>0</v>
      </c>
      <c r="L846" s="21">
        <v>0</v>
      </c>
      <c r="M846" s="21">
        <f t="shared" si="815"/>
        <v>0</v>
      </c>
      <c r="N846" s="35"/>
      <c r="O846" s="39"/>
      <c r="U846" s="41">
        <f t="shared" si="816"/>
        <v>0</v>
      </c>
      <c r="W846" s="41">
        <f t="shared" si="817"/>
        <v>0</v>
      </c>
      <c r="X846" s="41">
        <f t="shared" si="818"/>
        <v>0</v>
      </c>
      <c r="Y846" s="41">
        <f t="shared" si="819"/>
        <v>0</v>
      </c>
      <c r="Z846" s="41">
        <f t="shared" si="820"/>
        <v>0</v>
      </c>
      <c r="AA846" s="41">
        <f t="shared" si="821"/>
        <v>0</v>
      </c>
      <c r="AB846" s="41">
        <f t="shared" si="822"/>
        <v>0</v>
      </c>
      <c r="AC846" s="41">
        <f t="shared" si="823"/>
        <v>0</v>
      </c>
      <c r="AD846" s="31"/>
      <c r="AE846" s="21">
        <f t="shared" si="824"/>
        <v>0</v>
      </c>
      <c r="AF846" s="21">
        <f t="shared" si="825"/>
        <v>0</v>
      </c>
      <c r="AG846" s="21">
        <f t="shared" si="826"/>
        <v>0</v>
      </c>
      <c r="AI846" s="41">
        <v>21</v>
      </c>
      <c r="AJ846" s="41">
        <f t="shared" si="827"/>
        <v>0</v>
      </c>
      <c r="AK846" s="41">
        <f t="shared" si="828"/>
        <v>0</v>
      </c>
      <c r="AL846" s="42" t="s">
        <v>8</v>
      </c>
      <c r="AQ846" s="41">
        <f t="shared" si="829"/>
        <v>0</v>
      </c>
      <c r="AR846" s="41">
        <f t="shared" si="830"/>
        <v>0</v>
      </c>
      <c r="AS846" s="41">
        <f t="shared" si="831"/>
        <v>0</v>
      </c>
      <c r="AT846" s="44" t="s">
        <v>2471</v>
      </c>
      <c r="AU846" s="44" t="s">
        <v>2485</v>
      </c>
      <c r="AV846" s="31" t="s">
        <v>2486</v>
      </c>
      <c r="AX846" s="41">
        <f t="shared" si="832"/>
        <v>0</v>
      </c>
      <c r="AY846" s="41">
        <f t="shared" si="833"/>
        <v>0</v>
      </c>
      <c r="AZ846" s="41">
        <v>0</v>
      </c>
      <c r="BA846" s="41">
        <f t="shared" si="834"/>
        <v>0</v>
      </c>
      <c r="BC846" s="21">
        <f t="shared" si="835"/>
        <v>0</v>
      </c>
      <c r="BD846" s="21">
        <f t="shared" si="836"/>
        <v>0</v>
      </c>
      <c r="BE846" s="21">
        <f t="shared" si="837"/>
        <v>0</v>
      </c>
      <c r="BF846" s="21" t="s">
        <v>2492</v>
      </c>
      <c r="BG846" s="41" t="s">
        <v>1379</v>
      </c>
    </row>
    <row r="847" spans="1:59" x14ac:dyDescent="0.3">
      <c r="A847" s="4" t="s">
        <v>806</v>
      </c>
      <c r="B847" s="13"/>
      <c r="C847" s="13" t="s">
        <v>1424</v>
      </c>
      <c r="D847" s="101" t="s">
        <v>2211</v>
      </c>
      <c r="E847" s="102"/>
      <c r="F847" s="13" t="s">
        <v>2386</v>
      </c>
      <c r="G847" s="21">
        <v>1</v>
      </c>
      <c r="H847" s="21">
        <v>0</v>
      </c>
      <c r="I847" s="21">
        <f t="shared" si="812"/>
        <v>0</v>
      </c>
      <c r="J847" s="21">
        <f t="shared" si="813"/>
        <v>0</v>
      </c>
      <c r="K847" s="21">
        <f t="shared" si="814"/>
        <v>0</v>
      </c>
      <c r="L847" s="21">
        <v>0</v>
      </c>
      <c r="M847" s="21">
        <f t="shared" si="815"/>
        <v>0</v>
      </c>
      <c r="N847" s="35"/>
      <c r="O847" s="39"/>
      <c r="U847" s="41">
        <f t="shared" si="816"/>
        <v>0</v>
      </c>
      <c r="W847" s="41">
        <f t="shared" si="817"/>
        <v>0</v>
      </c>
      <c r="X847" s="41">
        <f t="shared" si="818"/>
        <v>0</v>
      </c>
      <c r="Y847" s="41">
        <f t="shared" si="819"/>
        <v>0</v>
      </c>
      <c r="Z847" s="41">
        <f t="shared" si="820"/>
        <v>0</v>
      </c>
      <c r="AA847" s="41">
        <f t="shared" si="821"/>
        <v>0</v>
      </c>
      <c r="AB847" s="41">
        <f t="shared" si="822"/>
        <v>0</v>
      </c>
      <c r="AC847" s="41">
        <f t="shared" si="823"/>
        <v>0</v>
      </c>
      <c r="AD847" s="31"/>
      <c r="AE847" s="21">
        <f t="shared" si="824"/>
        <v>0</v>
      </c>
      <c r="AF847" s="21">
        <f t="shared" si="825"/>
        <v>0</v>
      </c>
      <c r="AG847" s="21">
        <f t="shared" si="826"/>
        <v>0</v>
      </c>
      <c r="AI847" s="41">
        <v>21</v>
      </c>
      <c r="AJ847" s="41">
        <f t="shared" si="827"/>
        <v>0</v>
      </c>
      <c r="AK847" s="41">
        <f t="shared" si="828"/>
        <v>0</v>
      </c>
      <c r="AL847" s="42" t="s">
        <v>8</v>
      </c>
      <c r="AQ847" s="41">
        <f t="shared" si="829"/>
        <v>0</v>
      </c>
      <c r="AR847" s="41">
        <f t="shared" si="830"/>
        <v>0</v>
      </c>
      <c r="AS847" s="41">
        <f t="shared" si="831"/>
        <v>0</v>
      </c>
      <c r="AT847" s="44" t="s">
        <v>2471</v>
      </c>
      <c r="AU847" s="44" t="s">
        <v>2485</v>
      </c>
      <c r="AV847" s="31" t="s">
        <v>2486</v>
      </c>
      <c r="AX847" s="41">
        <f t="shared" si="832"/>
        <v>0</v>
      </c>
      <c r="AY847" s="41">
        <f t="shared" si="833"/>
        <v>0</v>
      </c>
      <c r="AZ847" s="41">
        <v>0</v>
      </c>
      <c r="BA847" s="41">
        <f t="shared" si="834"/>
        <v>0</v>
      </c>
      <c r="BC847" s="21">
        <f t="shared" si="835"/>
        <v>0</v>
      </c>
      <c r="BD847" s="21">
        <f t="shared" si="836"/>
        <v>0</v>
      </c>
      <c r="BE847" s="21">
        <f t="shared" si="837"/>
        <v>0</v>
      </c>
      <c r="BF847" s="21" t="s">
        <v>2492</v>
      </c>
      <c r="BG847" s="41" t="s">
        <v>1379</v>
      </c>
    </row>
    <row r="848" spans="1:59" x14ac:dyDescent="0.3">
      <c r="A848" s="4" t="s">
        <v>807</v>
      </c>
      <c r="B848" s="13"/>
      <c r="C848" s="13" t="s">
        <v>1425</v>
      </c>
      <c r="D848" s="101" t="s">
        <v>2212</v>
      </c>
      <c r="E848" s="102"/>
      <c r="F848" s="13" t="s">
        <v>2386</v>
      </c>
      <c r="G848" s="21">
        <v>1</v>
      </c>
      <c r="H848" s="21">
        <v>0</v>
      </c>
      <c r="I848" s="21">
        <f t="shared" si="812"/>
        <v>0</v>
      </c>
      <c r="J848" s="21">
        <f t="shared" si="813"/>
        <v>0</v>
      </c>
      <c r="K848" s="21">
        <f t="shared" si="814"/>
        <v>0</v>
      </c>
      <c r="L848" s="21">
        <v>0</v>
      </c>
      <c r="M848" s="21">
        <f t="shared" si="815"/>
        <v>0</v>
      </c>
      <c r="N848" s="35"/>
      <c r="O848" s="39"/>
      <c r="U848" s="41">
        <f t="shared" si="816"/>
        <v>0</v>
      </c>
      <c r="W848" s="41">
        <f t="shared" si="817"/>
        <v>0</v>
      </c>
      <c r="X848" s="41">
        <f t="shared" si="818"/>
        <v>0</v>
      </c>
      <c r="Y848" s="41">
        <f t="shared" si="819"/>
        <v>0</v>
      </c>
      <c r="Z848" s="41">
        <f t="shared" si="820"/>
        <v>0</v>
      </c>
      <c r="AA848" s="41">
        <f t="shared" si="821"/>
        <v>0</v>
      </c>
      <c r="AB848" s="41">
        <f t="shared" si="822"/>
        <v>0</v>
      </c>
      <c r="AC848" s="41">
        <f t="shared" si="823"/>
        <v>0</v>
      </c>
      <c r="AD848" s="31"/>
      <c r="AE848" s="21">
        <f t="shared" si="824"/>
        <v>0</v>
      </c>
      <c r="AF848" s="21">
        <f t="shared" si="825"/>
        <v>0</v>
      </c>
      <c r="AG848" s="21">
        <f t="shared" si="826"/>
        <v>0</v>
      </c>
      <c r="AI848" s="41">
        <v>21</v>
      </c>
      <c r="AJ848" s="41">
        <f t="shared" si="827"/>
        <v>0</v>
      </c>
      <c r="AK848" s="41">
        <f t="shared" si="828"/>
        <v>0</v>
      </c>
      <c r="AL848" s="42" t="s">
        <v>8</v>
      </c>
      <c r="AQ848" s="41">
        <f t="shared" si="829"/>
        <v>0</v>
      </c>
      <c r="AR848" s="41">
        <f t="shared" si="830"/>
        <v>0</v>
      </c>
      <c r="AS848" s="41">
        <f t="shared" si="831"/>
        <v>0</v>
      </c>
      <c r="AT848" s="44" t="s">
        <v>2471</v>
      </c>
      <c r="AU848" s="44" t="s">
        <v>2485</v>
      </c>
      <c r="AV848" s="31" t="s">
        <v>2486</v>
      </c>
      <c r="AX848" s="41">
        <f t="shared" si="832"/>
        <v>0</v>
      </c>
      <c r="AY848" s="41">
        <f t="shared" si="833"/>
        <v>0</v>
      </c>
      <c r="AZ848" s="41">
        <v>0</v>
      </c>
      <c r="BA848" s="41">
        <f t="shared" si="834"/>
        <v>0</v>
      </c>
      <c r="BC848" s="21">
        <f t="shared" si="835"/>
        <v>0</v>
      </c>
      <c r="BD848" s="21">
        <f t="shared" si="836"/>
        <v>0</v>
      </c>
      <c r="BE848" s="21">
        <f t="shared" si="837"/>
        <v>0</v>
      </c>
      <c r="BF848" s="21" t="s">
        <v>2492</v>
      </c>
      <c r="BG848" s="41" t="s">
        <v>1379</v>
      </c>
    </row>
    <row r="849" spans="1:59" x14ac:dyDescent="0.3">
      <c r="A849" s="4" t="s">
        <v>808</v>
      </c>
      <c r="B849" s="13"/>
      <c r="C849" s="13" t="s">
        <v>1426</v>
      </c>
      <c r="D849" s="101" t="s">
        <v>2213</v>
      </c>
      <c r="E849" s="102"/>
      <c r="F849" s="13" t="s">
        <v>2386</v>
      </c>
      <c r="G849" s="21">
        <v>1</v>
      </c>
      <c r="H849" s="21">
        <v>0</v>
      </c>
      <c r="I849" s="21">
        <f t="shared" si="812"/>
        <v>0</v>
      </c>
      <c r="J849" s="21">
        <f t="shared" si="813"/>
        <v>0</v>
      </c>
      <c r="K849" s="21">
        <f t="shared" si="814"/>
        <v>0</v>
      </c>
      <c r="L849" s="21">
        <v>0</v>
      </c>
      <c r="M849" s="21">
        <f t="shared" si="815"/>
        <v>0</v>
      </c>
      <c r="N849" s="35"/>
      <c r="O849" s="39"/>
      <c r="U849" s="41">
        <f t="shared" si="816"/>
        <v>0</v>
      </c>
      <c r="W849" s="41">
        <f t="shared" si="817"/>
        <v>0</v>
      </c>
      <c r="X849" s="41">
        <f t="shared" si="818"/>
        <v>0</v>
      </c>
      <c r="Y849" s="41">
        <f t="shared" si="819"/>
        <v>0</v>
      </c>
      <c r="Z849" s="41">
        <f t="shared" si="820"/>
        <v>0</v>
      </c>
      <c r="AA849" s="41">
        <f t="shared" si="821"/>
        <v>0</v>
      </c>
      <c r="AB849" s="41">
        <f t="shared" si="822"/>
        <v>0</v>
      </c>
      <c r="AC849" s="41">
        <f t="shared" si="823"/>
        <v>0</v>
      </c>
      <c r="AD849" s="31"/>
      <c r="AE849" s="21">
        <f t="shared" si="824"/>
        <v>0</v>
      </c>
      <c r="AF849" s="21">
        <f t="shared" si="825"/>
        <v>0</v>
      </c>
      <c r="AG849" s="21">
        <f t="shared" si="826"/>
        <v>0</v>
      </c>
      <c r="AI849" s="41">
        <v>21</v>
      </c>
      <c r="AJ849" s="41">
        <f t="shared" si="827"/>
        <v>0</v>
      </c>
      <c r="AK849" s="41">
        <f t="shared" si="828"/>
        <v>0</v>
      </c>
      <c r="AL849" s="42" t="s">
        <v>8</v>
      </c>
      <c r="AQ849" s="41">
        <f t="shared" si="829"/>
        <v>0</v>
      </c>
      <c r="AR849" s="41">
        <f t="shared" si="830"/>
        <v>0</v>
      </c>
      <c r="AS849" s="41">
        <f t="shared" si="831"/>
        <v>0</v>
      </c>
      <c r="AT849" s="44" t="s">
        <v>2471</v>
      </c>
      <c r="AU849" s="44" t="s">
        <v>2485</v>
      </c>
      <c r="AV849" s="31" t="s">
        <v>2486</v>
      </c>
      <c r="AX849" s="41">
        <f t="shared" si="832"/>
        <v>0</v>
      </c>
      <c r="AY849" s="41">
        <f t="shared" si="833"/>
        <v>0</v>
      </c>
      <c r="AZ849" s="41">
        <v>0</v>
      </c>
      <c r="BA849" s="41">
        <f t="shared" si="834"/>
        <v>0</v>
      </c>
      <c r="BC849" s="21">
        <f t="shared" si="835"/>
        <v>0</v>
      </c>
      <c r="BD849" s="21">
        <f t="shared" si="836"/>
        <v>0</v>
      </c>
      <c r="BE849" s="21">
        <f t="shared" si="837"/>
        <v>0</v>
      </c>
      <c r="BF849" s="21" t="s">
        <v>2492</v>
      </c>
      <c r="BG849" s="41" t="s">
        <v>1379</v>
      </c>
    </row>
    <row r="850" spans="1:59" x14ac:dyDescent="0.3">
      <c r="A850" s="4" t="s">
        <v>809</v>
      </c>
      <c r="B850" s="13"/>
      <c r="C850" s="13" t="s">
        <v>1427</v>
      </c>
      <c r="D850" s="101" t="s">
        <v>2214</v>
      </c>
      <c r="E850" s="102"/>
      <c r="F850" s="13" t="s">
        <v>2386</v>
      </c>
      <c r="G850" s="21">
        <v>1</v>
      </c>
      <c r="H850" s="21">
        <v>0</v>
      </c>
      <c r="I850" s="21">
        <f t="shared" si="812"/>
        <v>0</v>
      </c>
      <c r="J850" s="21">
        <f t="shared" si="813"/>
        <v>0</v>
      </c>
      <c r="K850" s="21">
        <f t="shared" si="814"/>
        <v>0</v>
      </c>
      <c r="L850" s="21">
        <v>0</v>
      </c>
      <c r="M850" s="21">
        <f t="shared" si="815"/>
        <v>0</v>
      </c>
      <c r="N850" s="35"/>
      <c r="O850" s="39"/>
      <c r="U850" s="41">
        <f t="shared" si="816"/>
        <v>0</v>
      </c>
      <c r="W850" s="41">
        <f t="shared" si="817"/>
        <v>0</v>
      </c>
      <c r="X850" s="41">
        <f t="shared" si="818"/>
        <v>0</v>
      </c>
      <c r="Y850" s="41">
        <f t="shared" si="819"/>
        <v>0</v>
      </c>
      <c r="Z850" s="41">
        <f t="shared" si="820"/>
        <v>0</v>
      </c>
      <c r="AA850" s="41">
        <f t="shared" si="821"/>
        <v>0</v>
      </c>
      <c r="AB850" s="41">
        <f t="shared" si="822"/>
        <v>0</v>
      </c>
      <c r="AC850" s="41">
        <f t="shared" si="823"/>
        <v>0</v>
      </c>
      <c r="AD850" s="31"/>
      <c r="AE850" s="21">
        <f t="shared" si="824"/>
        <v>0</v>
      </c>
      <c r="AF850" s="21">
        <f t="shared" si="825"/>
        <v>0</v>
      </c>
      <c r="AG850" s="21">
        <f t="shared" si="826"/>
        <v>0</v>
      </c>
      <c r="AI850" s="41">
        <v>21</v>
      </c>
      <c r="AJ850" s="41">
        <f t="shared" si="827"/>
        <v>0</v>
      </c>
      <c r="AK850" s="41">
        <f t="shared" si="828"/>
        <v>0</v>
      </c>
      <c r="AL850" s="42" t="s">
        <v>8</v>
      </c>
      <c r="AQ850" s="41">
        <f t="shared" si="829"/>
        <v>0</v>
      </c>
      <c r="AR850" s="41">
        <f t="shared" si="830"/>
        <v>0</v>
      </c>
      <c r="AS850" s="41">
        <f t="shared" si="831"/>
        <v>0</v>
      </c>
      <c r="AT850" s="44" t="s">
        <v>2471</v>
      </c>
      <c r="AU850" s="44" t="s">
        <v>2485</v>
      </c>
      <c r="AV850" s="31" t="s">
        <v>2486</v>
      </c>
      <c r="AX850" s="41">
        <f t="shared" si="832"/>
        <v>0</v>
      </c>
      <c r="AY850" s="41">
        <f t="shared" si="833"/>
        <v>0</v>
      </c>
      <c r="AZ850" s="41">
        <v>0</v>
      </c>
      <c r="BA850" s="41">
        <f t="shared" si="834"/>
        <v>0</v>
      </c>
      <c r="BC850" s="21">
        <f t="shared" si="835"/>
        <v>0</v>
      </c>
      <c r="BD850" s="21">
        <f t="shared" si="836"/>
        <v>0</v>
      </c>
      <c r="BE850" s="21">
        <f t="shared" si="837"/>
        <v>0</v>
      </c>
      <c r="BF850" s="21" t="s">
        <v>2492</v>
      </c>
      <c r="BG850" s="41" t="s">
        <v>1379</v>
      </c>
    </row>
    <row r="851" spans="1:59" x14ac:dyDescent="0.3">
      <c r="A851" s="4" t="s">
        <v>810</v>
      </c>
      <c r="B851" s="13"/>
      <c r="C851" s="13" t="s">
        <v>1428</v>
      </c>
      <c r="D851" s="101" t="s">
        <v>2215</v>
      </c>
      <c r="E851" s="102"/>
      <c r="F851" s="13" t="s">
        <v>2386</v>
      </c>
      <c r="G851" s="21">
        <v>1</v>
      </c>
      <c r="H851" s="21">
        <v>0</v>
      </c>
      <c r="I851" s="21">
        <f t="shared" si="812"/>
        <v>0</v>
      </c>
      <c r="J851" s="21">
        <f t="shared" si="813"/>
        <v>0</v>
      </c>
      <c r="K851" s="21">
        <f t="shared" si="814"/>
        <v>0</v>
      </c>
      <c r="L851" s="21">
        <v>0</v>
      </c>
      <c r="M851" s="21">
        <f t="shared" si="815"/>
        <v>0</v>
      </c>
      <c r="N851" s="35"/>
      <c r="O851" s="39"/>
      <c r="U851" s="41">
        <f t="shared" si="816"/>
        <v>0</v>
      </c>
      <c r="W851" s="41">
        <f t="shared" si="817"/>
        <v>0</v>
      </c>
      <c r="X851" s="41">
        <f t="shared" si="818"/>
        <v>0</v>
      </c>
      <c r="Y851" s="41">
        <f t="shared" si="819"/>
        <v>0</v>
      </c>
      <c r="Z851" s="41">
        <f t="shared" si="820"/>
        <v>0</v>
      </c>
      <c r="AA851" s="41">
        <f t="shared" si="821"/>
        <v>0</v>
      </c>
      <c r="AB851" s="41">
        <f t="shared" si="822"/>
        <v>0</v>
      </c>
      <c r="AC851" s="41">
        <f t="shared" si="823"/>
        <v>0</v>
      </c>
      <c r="AD851" s="31"/>
      <c r="AE851" s="21">
        <f t="shared" si="824"/>
        <v>0</v>
      </c>
      <c r="AF851" s="21">
        <f t="shared" si="825"/>
        <v>0</v>
      </c>
      <c r="AG851" s="21">
        <f t="shared" si="826"/>
        <v>0</v>
      </c>
      <c r="AI851" s="41">
        <v>21</v>
      </c>
      <c r="AJ851" s="41">
        <f t="shared" si="827"/>
        <v>0</v>
      </c>
      <c r="AK851" s="41">
        <f t="shared" si="828"/>
        <v>0</v>
      </c>
      <c r="AL851" s="42" t="s">
        <v>8</v>
      </c>
      <c r="AQ851" s="41">
        <f t="shared" si="829"/>
        <v>0</v>
      </c>
      <c r="AR851" s="41">
        <f t="shared" si="830"/>
        <v>0</v>
      </c>
      <c r="AS851" s="41">
        <f t="shared" si="831"/>
        <v>0</v>
      </c>
      <c r="AT851" s="44" t="s">
        <v>2471</v>
      </c>
      <c r="AU851" s="44" t="s">
        <v>2485</v>
      </c>
      <c r="AV851" s="31" t="s">
        <v>2486</v>
      </c>
      <c r="AX851" s="41">
        <f t="shared" si="832"/>
        <v>0</v>
      </c>
      <c r="AY851" s="41">
        <f t="shared" si="833"/>
        <v>0</v>
      </c>
      <c r="AZ851" s="41">
        <v>0</v>
      </c>
      <c r="BA851" s="41">
        <f t="shared" si="834"/>
        <v>0</v>
      </c>
      <c r="BC851" s="21">
        <f t="shared" si="835"/>
        <v>0</v>
      </c>
      <c r="BD851" s="21">
        <f t="shared" si="836"/>
        <v>0</v>
      </c>
      <c r="BE851" s="21">
        <f t="shared" si="837"/>
        <v>0</v>
      </c>
      <c r="BF851" s="21" t="s">
        <v>2492</v>
      </c>
      <c r="BG851" s="41" t="s">
        <v>1379</v>
      </c>
    </row>
    <row r="852" spans="1:59" x14ac:dyDescent="0.3">
      <c r="A852" s="4" t="s">
        <v>811</v>
      </c>
      <c r="B852" s="13"/>
      <c r="C852" s="13" t="s">
        <v>1429</v>
      </c>
      <c r="D852" s="101" t="s">
        <v>2216</v>
      </c>
      <c r="E852" s="102"/>
      <c r="F852" s="13" t="s">
        <v>2386</v>
      </c>
      <c r="G852" s="21">
        <v>1</v>
      </c>
      <c r="H852" s="21">
        <v>0</v>
      </c>
      <c r="I852" s="21">
        <f t="shared" si="812"/>
        <v>0</v>
      </c>
      <c r="J852" s="21">
        <f t="shared" si="813"/>
        <v>0</v>
      </c>
      <c r="K852" s="21">
        <f t="shared" si="814"/>
        <v>0</v>
      </c>
      <c r="L852" s="21">
        <v>0</v>
      </c>
      <c r="M852" s="21">
        <f t="shared" si="815"/>
        <v>0</v>
      </c>
      <c r="N852" s="35"/>
      <c r="O852" s="39"/>
      <c r="U852" s="41">
        <f t="shared" si="816"/>
        <v>0</v>
      </c>
      <c r="W852" s="41">
        <f t="shared" si="817"/>
        <v>0</v>
      </c>
      <c r="X852" s="41">
        <f t="shared" si="818"/>
        <v>0</v>
      </c>
      <c r="Y852" s="41">
        <f t="shared" si="819"/>
        <v>0</v>
      </c>
      <c r="Z852" s="41">
        <f t="shared" si="820"/>
        <v>0</v>
      </c>
      <c r="AA852" s="41">
        <f t="shared" si="821"/>
        <v>0</v>
      </c>
      <c r="AB852" s="41">
        <f t="shared" si="822"/>
        <v>0</v>
      </c>
      <c r="AC852" s="41">
        <f t="shared" si="823"/>
        <v>0</v>
      </c>
      <c r="AD852" s="31"/>
      <c r="AE852" s="21">
        <f t="shared" si="824"/>
        <v>0</v>
      </c>
      <c r="AF852" s="21">
        <f t="shared" si="825"/>
        <v>0</v>
      </c>
      <c r="AG852" s="21">
        <f t="shared" si="826"/>
        <v>0</v>
      </c>
      <c r="AI852" s="41">
        <v>21</v>
      </c>
      <c r="AJ852" s="41">
        <f t="shared" si="827"/>
        <v>0</v>
      </c>
      <c r="AK852" s="41">
        <f t="shared" si="828"/>
        <v>0</v>
      </c>
      <c r="AL852" s="42" t="s">
        <v>8</v>
      </c>
      <c r="AQ852" s="41">
        <f t="shared" si="829"/>
        <v>0</v>
      </c>
      <c r="AR852" s="41">
        <f t="shared" si="830"/>
        <v>0</v>
      </c>
      <c r="AS852" s="41">
        <f t="shared" si="831"/>
        <v>0</v>
      </c>
      <c r="AT852" s="44" t="s">
        <v>2471</v>
      </c>
      <c r="AU852" s="44" t="s">
        <v>2485</v>
      </c>
      <c r="AV852" s="31" t="s">
        <v>2486</v>
      </c>
      <c r="AX852" s="41">
        <f t="shared" si="832"/>
        <v>0</v>
      </c>
      <c r="AY852" s="41">
        <f t="shared" si="833"/>
        <v>0</v>
      </c>
      <c r="AZ852" s="41">
        <v>0</v>
      </c>
      <c r="BA852" s="41">
        <f t="shared" si="834"/>
        <v>0</v>
      </c>
      <c r="BC852" s="21">
        <f t="shared" si="835"/>
        <v>0</v>
      </c>
      <c r="BD852" s="21">
        <f t="shared" si="836"/>
        <v>0</v>
      </c>
      <c r="BE852" s="21">
        <f t="shared" si="837"/>
        <v>0</v>
      </c>
      <c r="BF852" s="21" t="s">
        <v>2492</v>
      </c>
      <c r="BG852" s="41" t="s">
        <v>1379</v>
      </c>
    </row>
    <row r="853" spans="1:59" x14ac:dyDescent="0.3">
      <c r="A853" s="4" t="s">
        <v>812</v>
      </c>
      <c r="B853" s="13"/>
      <c r="C853" s="13" t="s">
        <v>1430</v>
      </c>
      <c r="D853" s="101" t="s">
        <v>2217</v>
      </c>
      <c r="E853" s="102"/>
      <c r="F853" s="13" t="s">
        <v>2386</v>
      </c>
      <c r="G853" s="21">
        <v>1</v>
      </c>
      <c r="H853" s="21">
        <v>0</v>
      </c>
      <c r="I853" s="21">
        <f t="shared" si="812"/>
        <v>0</v>
      </c>
      <c r="J853" s="21">
        <f t="shared" si="813"/>
        <v>0</v>
      </c>
      <c r="K853" s="21">
        <f t="shared" si="814"/>
        <v>0</v>
      </c>
      <c r="L853" s="21">
        <v>0</v>
      </c>
      <c r="M853" s="21">
        <f t="shared" si="815"/>
        <v>0</v>
      </c>
      <c r="N853" s="35"/>
      <c r="O853" s="39"/>
      <c r="U853" s="41">
        <f t="shared" si="816"/>
        <v>0</v>
      </c>
      <c r="W853" s="41">
        <f t="shared" si="817"/>
        <v>0</v>
      </c>
      <c r="X853" s="41">
        <f t="shared" si="818"/>
        <v>0</v>
      </c>
      <c r="Y853" s="41">
        <f t="shared" si="819"/>
        <v>0</v>
      </c>
      <c r="Z853" s="41">
        <f t="shared" si="820"/>
        <v>0</v>
      </c>
      <c r="AA853" s="41">
        <f t="shared" si="821"/>
        <v>0</v>
      </c>
      <c r="AB853" s="41">
        <f t="shared" si="822"/>
        <v>0</v>
      </c>
      <c r="AC853" s="41">
        <f t="shared" si="823"/>
        <v>0</v>
      </c>
      <c r="AD853" s="31"/>
      <c r="AE853" s="21">
        <f t="shared" si="824"/>
        <v>0</v>
      </c>
      <c r="AF853" s="21">
        <f t="shared" si="825"/>
        <v>0</v>
      </c>
      <c r="AG853" s="21">
        <f t="shared" si="826"/>
        <v>0</v>
      </c>
      <c r="AI853" s="41">
        <v>21</v>
      </c>
      <c r="AJ853" s="41">
        <f t="shared" si="827"/>
        <v>0</v>
      </c>
      <c r="AK853" s="41">
        <f t="shared" si="828"/>
        <v>0</v>
      </c>
      <c r="AL853" s="42" t="s">
        <v>8</v>
      </c>
      <c r="AQ853" s="41">
        <f t="shared" si="829"/>
        <v>0</v>
      </c>
      <c r="AR853" s="41">
        <f t="shared" si="830"/>
        <v>0</v>
      </c>
      <c r="AS853" s="41">
        <f t="shared" si="831"/>
        <v>0</v>
      </c>
      <c r="AT853" s="44" t="s">
        <v>2471</v>
      </c>
      <c r="AU853" s="44" t="s">
        <v>2485</v>
      </c>
      <c r="AV853" s="31" t="s">
        <v>2486</v>
      </c>
      <c r="AX853" s="41">
        <f t="shared" si="832"/>
        <v>0</v>
      </c>
      <c r="AY853" s="41">
        <f t="shared" si="833"/>
        <v>0</v>
      </c>
      <c r="AZ853" s="41">
        <v>0</v>
      </c>
      <c r="BA853" s="41">
        <f t="shared" si="834"/>
        <v>0</v>
      </c>
      <c r="BC853" s="21">
        <f t="shared" si="835"/>
        <v>0</v>
      </c>
      <c r="BD853" s="21">
        <f t="shared" si="836"/>
        <v>0</v>
      </c>
      <c r="BE853" s="21">
        <f t="shared" si="837"/>
        <v>0</v>
      </c>
      <c r="BF853" s="21" t="s">
        <v>2492</v>
      </c>
      <c r="BG853" s="41" t="s">
        <v>1379</v>
      </c>
    </row>
    <row r="854" spans="1:59" x14ac:dyDescent="0.3">
      <c r="A854" s="4" t="s">
        <v>813</v>
      </c>
      <c r="B854" s="13"/>
      <c r="C854" s="13" t="s">
        <v>1431</v>
      </c>
      <c r="D854" s="101" t="s">
        <v>2218</v>
      </c>
      <c r="E854" s="102"/>
      <c r="F854" s="13" t="s">
        <v>2386</v>
      </c>
      <c r="G854" s="21">
        <v>1</v>
      </c>
      <c r="H854" s="21">
        <v>0</v>
      </c>
      <c r="I854" s="21">
        <f t="shared" si="812"/>
        <v>0</v>
      </c>
      <c r="J854" s="21">
        <f t="shared" si="813"/>
        <v>0</v>
      </c>
      <c r="K854" s="21">
        <f t="shared" si="814"/>
        <v>0</v>
      </c>
      <c r="L854" s="21">
        <v>0</v>
      </c>
      <c r="M854" s="21">
        <f t="shared" si="815"/>
        <v>0</v>
      </c>
      <c r="N854" s="35"/>
      <c r="O854" s="39"/>
      <c r="U854" s="41">
        <f t="shared" si="816"/>
        <v>0</v>
      </c>
      <c r="W854" s="41">
        <f t="shared" si="817"/>
        <v>0</v>
      </c>
      <c r="X854" s="41">
        <f t="shared" si="818"/>
        <v>0</v>
      </c>
      <c r="Y854" s="41">
        <f t="shared" si="819"/>
        <v>0</v>
      </c>
      <c r="Z854" s="41">
        <f t="shared" si="820"/>
        <v>0</v>
      </c>
      <c r="AA854" s="41">
        <f t="shared" si="821"/>
        <v>0</v>
      </c>
      <c r="AB854" s="41">
        <f t="shared" si="822"/>
        <v>0</v>
      </c>
      <c r="AC854" s="41">
        <f t="shared" si="823"/>
        <v>0</v>
      </c>
      <c r="AD854" s="31"/>
      <c r="AE854" s="21">
        <f t="shared" si="824"/>
        <v>0</v>
      </c>
      <c r="AF854" s="21">
        <f t="shared" si="825"/>
        <v>0</v>
      </c>
      <c r="AG854" s="21">
        <f t="shared" si="826"/>
        <v>0</v>
      </c>
      <c r="AI854" s="41">
        <v>21</v>
      </c>
      <c r="AJ854" s="41">
        <f t="shared" si="827"/>
        <v>0</v>
      </c>
      <c r="AK854" s="41">
        <f t="shared" si="828"/>
        <v>0</v>
      </c>
      <c r="AL854" s="42" t="s">
        <v>8</v>
      </c>
      <c r="AQ854" s="41">
        <f t="shared" si="829"/>
        <v>0</v>
      </c>
      <c r="AR854" s="41">
        <f t="shared" si="830"/>
        <v>0</v>
      </c>
      <c r="AS854" s="41">
        <f t="shared" si="831"/>
        <v>0</v>
      </c>
      <c r="AT854" s="44" t="s">
        <v>2471</v>
      </c>
      <c r="AU854" s="44" t="s">
        <v>2485</v>
      </c>
      <c r="AV854" s="31" t="s">
        <v>2486</v>
      </c>
      <c r="AX854" s="41">
        <f t="shared" si="832"/>
        <v>0</v>
      </c>
      <c r="AY854" s="41">
        <f t="shared" si="833"/>
        <v>0</v>
      </c>
      <c r="AZ854" s="41">
        <v>0</v>
      </c>
      <c r="BA854" s="41">
        <f t="shared" si="834"/>
        <v>0</v>
      </c>
      <c r="BC854" s="21">
        <f t="shared" si="835"/>
        <v>0</v>
      </c>
      <c r="BD854" s="21">
        <f t="shared" si="836"/>
        <v>0</v>
      </c>
      <c r="BE854" s="21">
        <f t="shared" si="837"/>
        <v>0</v>
      </c>
      <c r="BF854" s="21" t="s">
        <v>2492</v>
      </c>
      <c r="BG854" s="41" t="s">
        <v>1379</v>
      </c>
    </row>
    <row r="855" spans="1:59" x14ac:dyDescent="0.3">
      <c r="A855" s="4" t="s">
        <v>814</v>
      </c>
      <c r="B855" s="13"/>
      <c r="C855" s="13" t="s">
        <v>1432</v>
      </c>
      <c r="D855" s="101" t="s">
        <v>2728</v>
      </c>
      <c r="E855" s="102"/>
      <c r="F855" s="13" t="s">
        <v>2386</v>
      </c>
      <c r="G855" s="21">
        <v>1</v>
      </c>
      <c r="H855" s="21">
        <v>0</v>
      </c>
      <c r="I855" s="21">
        <f t="shared" si="812"/>
        <v>0</v>
      </c>
      <c r="J855" s="21">
        <f t="shared" si="813"/>
        <v>0</v>
      </c>
      <c r="K855" s="21">
        <f t="shared" si="814"/>
        <v>0</v>
      </c>
      <c r="L855" s="21">
        <v>0</v>
      </c>
      <c r="M855" s="21">
        <f t="shared" si="815"/>
        <v>0</v>
      </c>
      <c r="N855" s="35" t="s">
        <v>2417</v>
      </c>
      <c r="O855" s="39"/>
      <c r="U855" s="41">
        <f t="shared" si="816"/>
        <v>0</v>
      </c>
      <c r="W855" s="41">
        <f t="shared" si="817"/>
        <v>0</v>
      </c>
      <c r="X855" s="41">
        <f t="shared" si="818"/>
        <v>0</v>
      </c>
      <c r="Y855" s="41">
        <f t="shared" si="819"/>
        <v>0</v>
      </c>
      <c r="Z855" s="41">
        <f t="shared" si="820"/>
        <v>0</v>
      </c>
      <c r="AA855" s="41">
        <f t="shared" si="821"/>
        <v>0</v>
      </c>
      <c r="AB855" s="41">
        <f t="shared" si="822"/>
        <v>0</v>
      </c>
      <c r="AC855" s="41">
        <f t="shared" si="823"/>
        <v>0</v>
      </c>
      <c r="AD855" s="31"/>
      <c r="AE855" s="21">
        <f t="shared" si="824"/>
        <v>0</v>
      </c>
      <c r="AF855" s="21">
        <f t="shared" si="825"/>
        <v>0</v>
      </c>
      <c r="AG855" s="21">
        <f t="shared" si="826"/>
        <v>0</v>
      </c>
      <c r="AI855" s="41">
        <v>21</v>
      </c>
      <c r="AJ855" s="41">
        <f>H855*0.598163041300167</f>
        <v>0</v>
      </c>
      <c r="AK855" s="41">
        <f>H855*(1-0.598163041300167)</f>
        <v>0</v>
      </c>
      <c r="AL855" s="42" t="s">
        <v>8</v>
      </c>
      <c r="AQ855" s="41">
        <f t="shared" si="829"/>
        <v>0</v>
      </c>
      <c r="AR855" s="41">
        <f t="shared" si="830"/>
        <v>0</v>
      </c>
      <c r="AS855" s="41">
        <f t="shared" si="831"/>
        <v>0</v>
      </c>
      <c r="AT855" s="44" t="s">
        <v>2471</v>
      </c>
      <c r="AU855" s="44" t="s">
        <v>2485</v>
      </c>
      <c r="AV855" s="31" t="s">
        <v>2486</v>
      </c>
      <c r="AX855" s="41">
        <f t="shared" si="832"/>
        <v>0</v>
      </c>
      <c r="AY855" s="41">
        <f t="shared" si="833"/>
        <v>0</v>
      </c>
      <c r="AZ855" s="41">
        <v>0</v>
      </c>
      <c r="BA855" s="41">
        <f t="shared" si="834"/>
        <v>0</v>
      </c>
      <c r="BC855" s="21">
        <f t="shared" si="835"/>
        <v>0</v>
      </c>
      <c r="BD855" s="21">
        <f t="shared" si="836"/>
        <v>0</v>
      </c>
      <c r="BE855" s="21">
        <f t="shared" si="837"/>
        <v>0</v>
      </c>
      <c r="BF855" s="21" t="s">
        <v>2492</v>
      </c>
      <c r="BG855" s="41" t="s">
        <v>1379</v>
      </c>
    </row>
    <row r="856" spans="1:59" x14ac:dyDescent="0.3">
      <c r="A856" s="4" t="s">
        <v>815</v>
      </c>
      <c r="B856" s="13"/>
      <c r="C856" s="13" t="s">
        <v>1433</v>
      </c>
      <c r="D856" s="101" t="s">
        <v>2729</v>
      </c>
      <c r="E856" s="102"/>
      <c r="F856" s="13" t="s">
        <v>2386</v>
      </c>
      <c r="G856" s="21">
        <v>1</v>
      </c>
      <c r="H856" s="21">
        <v>0</v>
      </c>
      <c r="I856" s="21">
        <f t="shared" si="812"/>
        <v>0</v>
      </c>
      <c r="J856" s="21">
        <f t="shared" si="813"/>
        <v>0</v>
      </c>
      <c r="K856" s="21">
        <f t="shared" si="814"/>
        <v>0</v>
      </c>
      <c r="L856" s="21">
        <v>0</v>
      </c>
      <c r="M856" s="21">
        <f t="shared" si="815"/>
        <v>0</v>
      </c>
      <c r="N856" s="35" t="s">
        <v>2417</v>
      </c>
      <c r="O856" s="39"/>
      <c r="U856" s="41">
        <f t="shared" si="816"/>
        <v>0</v>
      </c>
      <c r="W856" s="41">
        <f t="shared" si="817"/>
        <v>0</v>
      </c>
      <c r="X856" s="41">
        <f t="shared" si="818"/>
        <v>0</v>
      </c>
      <c r="Y856" s="41">
        <f t="shared" si="819"/>
        <v>0</v>
      </c>
      <c r="Z856" s="41">
        <f t="shared" si="820"/>
        <v>0</v>
      </c>
      <c r="AA856" s="41">
        <f t="shared" si="821"/>
        <v>0</v>
      </c>
      <c r="AB856" s="41">
        <f t="shared" si="822"/>
        <v>0</v>
      </c>
      <c r="AC856" s="41">
        <f t="shared" si="823"/>
        <v>0</v>
      </c>
      <c r="AD856" s="31"/>
      <c r="AE856" s="21">
        <f t="shared" si="824"/>
        <v>0</v>
      </c>
      <c r="AF856" s="21">
        <f t="shared" si="825"/>
        <v>0</v>
      </c>
      <c r="AG856" s="21">
        <f t="shared" si="826"/>
        <v>0</v>
      </c>
      <c r="AI856" s="41">
        <v>21</v>
      </c>
      <c r="AJ856" s="41">
        <f>H856*0.62712753014602</f>
        <v>0</v>
      </c>
      <c r="AK856" s="41">
        <f>H856*(1-0.62712753014602)</f>
        <v>0</v>
      </c>
      <c r="AL856" s="42" t="s">
        <v>8</v>
      </c>
      <c r="AQ856" s="41">
        <f t="shared" si="829"/>
        <v>0</v>
      </c>
      <c r="AR856" s="41">
        <f t="shared" si="830"/>
        <v>0</v>
      </c>
      <c r="AS856" s="41">
        <f t="shared" si="831"/>
        <v>0</v>
      </c>
      <c r="AT856" s="44" t="s">
        <v>2471</v>
      </c>
      <c r="AU856" s="44" t="s">
        <v>2485</v>
      </c>
      <c r="AV856" s="31" t="s">
        <v>2486</v>
      </c>
      <c r="AX856" s="41">
        <f t="shared" si="832"/>
        <v>0</v>
      </c>
      <c r="AY856" s="41">
        <f t="shared" si="833"/>
        <v>0</v>
      </c>
      <c r="AZ856" s="41">
        <v>0</v>
      </c>
      <c r="BA856" s="41">
        <f t="shared" si="834"/>
        <v>0</v>
      </c>
      <c r="BC856" s="21">
        <f t="shared" si="835"/>
        <v>0</v>
      </c>
      <c r="BD856" s="21">
        <f t="shared" si="836"/>
        <v>0</v>
      </c>
      <c r="BE856" s="21">
        <f t="shared" si="837"/>
        <v>0</v>
      </c>
      <c r="BF856" s="21" t="s">
        <v>2492</v>
      </c>
      <c r="BG856" s="41" t="s">
        <v>1379</v>
      </c>
    </row>
    <row r="857" spans="1:59" x14ac:dyDescent="0.3">
      <c r="A857" s="4" t="s">
        <v>816</v>
      </c>
      <c r="B857" s="13"/>
      <c r="C857" s="13" t="s">
        <v>1434</v>
      </c>
      <c r="D857" s="101" t="s">
        <v>2730</v>
      </c>
      <c r="E857" s="102"/>
      <c r="F857" s="13" t="s">
        <v>2386</v>
      </c>
      <c r="G857" s="21">
        <v>1</v>
      </c>
      <c r="H857" s="21">
        <v>0</v>
      </c>
      <c r="I857" s="21">
        <f t="shared" si="812"/>
        <v>0</v>
      </c>
      <c r="J857" s="21">
        <f t="shared" si="813"/>
        <v>0</v>
      </c>
      <c r="K857" s="21">
        <f t="shared" si="814"/>
        <v>0</v>
      </c>
      <c r="L857" s="21">
        <v>0</v>
      </c>
      <c r="M857" s="21">
        <f t="shared" si="815"/>
        <v>0</v>
      </c>
      <c r="N857" s="35" t="s">
        <v>2417</v>
      </c>
      <c r="O857" s="39"/>
      <c r="U857" s="41">
        <f t="shared" si="816"/>
        <v>0</v>
      </c>
      <c r="W857" s="41">
        <f t="shared" si="817"/>
        <v>0</v>
      </c>
      <c r="X857" s="41">
        <f t="shared" si="818"/>
        <v>0</v>
      </c>
      <c r="Y857" s="41">
        <f t="shared" si="819"/>
        <v>0</v>
      </c>
      <c r="Z857" s="41">
        <f t="shared" si="820"/>
        <v>0</v>
      </c>
      <c r="AA857" s="41">
        <f t="shared" si="821"/>
        <v>0</v>
      </c>
      <c r="AB857" s="41">
        <f t="shared" si="822"/>
        <v>0</v>
      </c>
      <c r="AC857" s="41">
        <f t="shared" si="823"/>
        <v>0</v>
      </c>
      <c r="AD857" s="31"/>
      <c r="AE857" s="21">
        <f t="shared" si="824"/>
        <v>0</v>
      </c>
      <c r="AF857" s="21">
        <f t="shared" si="825"/>
        <v>0</v>
      </c>
      <c r="AG857" s="21">
        <f t="shared" si="826"/>
        <v>0</v>
      </c>
      <c r="AI857" s="41">
        <v>21</v>
      </c>
      <c r="AJ857" s="41">
        <f>H857*0.598163041300167</f>
        <v>0</v>
      </c>
      <c r="AK857" s="41">
        <f>H857*(1-0.598163041300167)</f>
        <v>0</v>
      </c>
      <c r="AL857" s="42" t="s">
        <v>8</v>
      </c>
      <c r="AQ857" s="41">
        <f t="shared" si="829"/>
        <v>0</v>
      </c>
      <c r="AR857" s="41">
        <f t="shared" si="830"/>
        <v>0</v>
      </c>
      <c r="AS857" s="41">
        <f t="shared" si="831"/>
        <v>0</v>
      </c>
      <c r="AT857" s="44" t="s">
        <v>2471</v>
      </c>
      <c r="AU857" s="44" t="s">
        <v>2485</v>
      </c>
      <c r="AV857" s="31" t="s">
        <v>2486</v>
      </c>
      <c r="AX857" s="41">
        <f t="shared" si="832"/>
        <v>0</v>
      </c>
      <c r="AY857" s="41">
        <f t="shared" si="833"/>
        <v>0</v>
      </c>
      <c r="AZ857" s="41">
        <v>0</v>
      </c>
      <c r="BA857" s="41">
        <f t="shared" si="834"/>
        <v>0</v>
      </c>
      <c r="BC857" s="21">
        <f t="shared" si="835"/>
        <v>0</v>
      </c>
      <c r="BD857" s="21">
        <f t="shared" si="836"/>
        <v>0</v>
      </c>
      <c r="BE857" s="21">
        <f t="shared" si="837"/>
        <v>0</v>
      </c>
      <c r="BF857" s="21" t="s">
        <v>2492</v>
      </c>
      <c r="BG857" s="41" t="s">
        <v>1379</v>
      </c>
    </row>
    <row r="858" spans="1:59" x14ac:dyDescent="0.3">
      <c r="A858" s="4" t="s">
        <v>817</v>
      </c>
      <c r="B858" s="13"/>
      <c r="C858" s="13" t="s">
        <v>1435</v>
      </c>
      <c r="D858" s="101" t="s">
        <v>2731</v>
      </c>
      <c r="E858" s="102"/>
      <c r="F858" s="13" t="s">
        <v>2386</v>
      </c>
      <c r="G858" s="21">
        <v>1</v>
      </c>
      <c r="H858" s="21">
        <v>0</v>
      </c>
      <c r="I858" s="21">
        <f t="shared" si="812"/>
        <v>0</v>
      </c>
      <c r="J858" s="21">
        <f t="shared" si="813"/>
        <v>0</v>
      </c>
      <c r="K858" s="21">
        <f t="shared" si="814"/>
        <v>0</v>
      </c>
      <c r="L858" s="21">
        <v>0</v>
      </c>
      <c r="M858" s="21">
        <f t="shared" si="815"/>
        <v>0</v>
      </c>
      <c r="N858" s="35" t="s">
        <v>2417</v>
      </c>
      <c r="O858" s="39"/>
      <c r="U858" s="41">
        <f t="shared" si="816"/>
        <v>0</v>
      </c>
      <c r="W858" s="41">
        <f t="shared" si="817"/>
        <v>0</v>
      </c>
      <c r="X858" s="41">
        <f t="shared" si="818"/>
        <v>0</v>
      </c>
      <c r="Y858" s="41">
        <f t="shared" si="819"/>
        <v>0</v>
      </c>
      <c r="Z858" s="41">
        <f t="shared" si="820"/>
        <v>0</v>
      </c>
      <c r="AA858" s="41">
        <f t="shared" si="821"/>
        <v>0</v>
      </c>
      <c r="AB858" s="41">
        <f t="shared" si="822"/>
        <v>0</v>
      </c>
      <c r="AC858" s="41">
        <f t="shared" si="823"/>
        <v>0</v>
      </c>
      <c r="AD858" s="31"/>
      <c r="AE858" s="21">
        <f t="shared" si="824"/>
        <v>0</v>
      </c>
      <c r="AF858" s="21">
        <f t="shared" si="825"/>
        <v>0</v>
      </c>
      <c r="AG858" s="21">
        <f t="shared" si="826"/>
        <v>0</v>
      </c>
      <c r="AI858" s="41">
        <v>21</v>
      </c>
      <c r="AJ858" s="41">
        <f>H858*0.682128240109141</f>
        <v>0</v>
      </c>
      <c r="AK858" s="41">
        <f>H858*(1-0.682128240109141)</f>
        <v>0</v>
      </c>
      <c r="AL858" s="42" t="s">
        <v>8</v>
      </c>
      <c r="AQ858" s="41">
        <f t="shared" si="829"/>
        <v>0</v>
      </c>
      <c r="AR858" s="41">
        <f t="shared" si="830"/>
        <v>0</v>
      </c>
      <c r="AS858" s="41">
        <f t="shared" si="831"/>
        <v>0</v>
      </c>
      <c r="AT858" s="44" t="s">
        <v>2471</v>
      </c>
      <c r="AU858" s="44" t="s">
        <v>2485</v>
      </c>
      <c r="AV858" s="31" t="s">
        <v>2486</v>
      </c>
      <c r="AX858" s="41">
        <f t="shared" si="832"/>
        <v>0</v>
      </c>
      <c r="AY858" s="41">
        <f t="shared" si="833"/>
        <v>0</v>
      </c>
      <c r="AZ858" s="41">
        <v>0</v>
      </c>
      <c r="BA858" s="41">
        <f t="shared" si="834"/>
        <v>0</v>
      </c>
      <c r="BC858" s="21">
        <f t="shared" si="835"/>
        <v>0</v>
      </c>
      <c r="BD858" s="21">
        <f t="shared" si="836"/>
        <v>0</v>
      </c>
      <c r="BE858" s="21">
        <f t="shared" si="837"/>
        <v>0</v>
      </c>
      <c r="BF858" s="21" t="s">
        <v>2492</v>
      </c>
      <c r="BG858" s="41" t="s">
        <v>1379</v>
      </c>
    </row>
    <row r="859" spans="1:59" x14ac:dyDescent="0.3">
      <c r="A859" s="4" t="s">
        <v>818</v>
      </c>
      <c r="B859" s="13"/>
      <c r="C859" s="13" t="s">
        <v>1436</v>
      </c>
      <c r="D859" s="101" t="s">
        <v>2732</v>
      </c>
      <c r="E859" s="102"/>
      <c r="F859" s="13" t="s">
        <v>2386</v>
      </c>
      <c r="G859" s="21">
        <v>1</v>
      </c>
      <c r="H859" s="21">
        <v>0</v>
      </c>
      <c r="I859" s="21">
        <f t="shared" si="812"/>
        <v>0</v>
      </c>
      <c r="J859" s="21">
        <f t="shared" si="813"/>
        <v>0</v>
      </c>
      <c r="K859" s="21">
        <f t="shared" si="814"/>
        <v>0</v>
      </c>
      <c r="L859" s="21">
        <v>0</v>
      </c>
      <c r="M859" s="21">
        <f t="shared" si="815"/>
        <v>0</v>
      </c>
      <c r="N859" s="35" t="s">
        <v>2417</v>
      </c>
      <c r="O859" s="39"/>
      <c r="U859" s="41">
        <f t="shared" si="816"/>
        <v>0</v>
      </c>
      <c r="W859" s="41">
        <f t="shared" si="817"/>
        <v>0</v>
      </c>
      <c r="X859" s="41">
        <f t="shared" si="818"/>
        <v>0</v>
      </c>
      <c r="Y859" s="41">
        <f t="shared" si="819"/>
        <v>0</v>
      </c>
      <c r="Z859" s="41">
        <f t="shared" si="820"/>
        <v>0</v>
      </c>
      <c r="AA859" s="41">
        <f t="shared" si="821"/>
        <v>0</v>
      </c>
      <c r="AB859" s="41">
        <f t="shared" si="822"/>
        <v>0</v>
      </c>
      <c r="AC859" s="41">
        <f t="shared" si="823"/>
        <v>0</v>
      </c>
      <c r="AD859" s="31"/>
      <c r="AE859" s="21">
        <f t="shared" si="824"/>
        <v>0</v>
      </c>
      <c r="AF859" s="21">
        <f t="shared" si="825"/>
        <v>0</v>
      </c>
      <c r="AG859" s="21">
        <f t="shared" si="826"/>
        <v>0</v>
      </c>
      <c r="AI859" s="41">
        <v>21</v>
      </c>
      <c r="AJ859" s="41">
        <f>H859*0.689840283160622</f>
        <v>0</v>
      </c>
      <c r="AK859" s="41">
        <f>H859*(1-0.689840283160622)</f>
        <v>0</v>
      </c>
      <c r="AL859" s="42" t="s">
        <v>8</v>
      </c>
      <c r="AQ859" s="41">
        <f t="shared" si="829"/>
        <v>0</v>
      </c>
      <c r="AR859" s="41">
        <f t="shared" si="830"/>
        <v>0</v>
      </c>
      <c r="AS859" s="41">
        <f t="shared" si="831"/>
        <v>0</v>
      </c>
      <c r="AT859" s="44" t="s">
        <v>2471</v>
      </c>
      <c r="AU859" s="44" t="s">
        <v>2485</v>
      </c>
      <c r="AV859" s="31" t="s">
        <v>2486</v>
      </c>
      <c r="AX859" s="41">
        <f t="shared" si="832"/>
        <v>0</v>
      </c>
      <c r="AY859" s="41">
        <f t="shared" si="833"/>
        <v>0</v>
      </c>
      <c r="AZ859" s="41">
        <v>0</v>
      </c>
      <c r="BA859" s="41">
        <f t="shared" si="834"/>
        <v>0</v>
      </c>
      <c r="BC859" s="21">
        <f t="shared" si="835"/>
        <v>0</v>
      </c>
      <c r="BD859" s="21">
        <f t="shared" si="836"/>
        <v>0</v>
      </c>
      <c r="BE859" s="21">
        <f t="shared" si="837"/>
        <v>0</v>
      </c>
      <c r="BF859" s="21" t="s">
        <v>2492</v>
      </c>
      <c r="BG859" s="41" t="s">
        <v>1379</v>
      </c>
    </row>
    <row r="860" spans="1:59" x14ac:dyDescent="0.3">
      <c r="A860" s="4" t="s">
        <v>819</v>
      </c>
      <c r="B860" s="13"/>
      <c r="C860" s="13" t="s">
        <v>1437</v>
      </c>
      <c r="D860" s="101" t="s">
        <v>2733</v>
      </c>
      <c r="E860" s="102"/>
      <c r="F860" s="13" t="s">
        <v>2386</v>
      </c>
      <c r="G860" s="21">
        <v>1</v>
      </c>
      <c r="H860" s="21">
        <v>0</v>
      </c>
      <c r="I860" s="21">
        <f t="shared" si="812"/>
        <v>0</v>
      </c>
      <c r="J860" s="21">
        <f t="shared" si="813"/>
        <v>0</v>
      </c>
      <c r="K860" s="21">
        <f t="shared" si="814"/>
        <v>0</v>
      </c>
      <c r="L860" s="21">
        <v>0</v>
      </c>
      <c r="M860" s="21">
        <f t="shared" si="815"/>
        <v>0</v>
      </c>
      <c r="N860" s="35" t="s">
        <v>2417</v>
      </c>
      <c r="O860" s="39"/>
      <c r="U860" s="41">
        <f t="shared" si="816"/>
        <v>0</v>
      </c>
      <c r="W860" s="41">
        <f t="shared" si="817"/>
        <v>0</v>
      </c>
      <c r="X860" s="41">
        <f t="shared" si="818"/>
        <v>0</v>
      </c>
      <c r="Y860" s="41">
        <f t="shared" si="819"/>
        <v>0</v>
      </c>
      <c r="Z860" s="41">
        <f t="shared" si="820"/>
        <v>0</v>
      </c>
      <c r="AA860" s="41">
        <f t="shared" si="821"/>
        <v>0</v>
      </c>
      <c r="AB860" s="41">
        <f t="shared" si="822"/>
        <v>0</v>
      </c>
      <c r="AC860" s="41">
        <f t="shared" si="823"/>
        <v>0</v>
      </c>
      <c r="AD860" s="31"/>
      <c r="AE860" s="21">
        <f t="shared" si="824"/>
        <v>0</v>
      </c>
      <c r="AF860" s="21">
        <f t="shared" si="825"/>
        <v>0</v>
      </c>
      <c r="AG860" s="21">
        <f t="shared" si="826"/>
        <v>0</v>
      </c>
      <c r="AI860" s="41">
        <v>21</v>
      </c>
      <c r="AJ860" s="41">
        <f>H860*0.672933421462688</f>
        <v>0</v>
      </c>
      <c r="AK860" s="41">
        <f>H860*(1-0.672933421462688)</f>
        <v>0</v>
      </c>
      <c r="AL860" s="42" t="s">
        <v>8</v>
      </c>
      <c r="AQ860" s="41">
        <f t="shared" si="829"/>
        <v>0</v>
      </c>
      <c r="AR860" s="41">
        <f t="shared" si="830"/>
        <v>0</v>
      </c>
      <c r="AS860" s="41">
        <f t="shared" si="831"/>
        <v>0</v>
      </c>
      <c r="AT860" s="44" t="s">
        <v>2471</v>
      </c>
      <c r="AU860" s="44" t="s">
        <v>2485</v>
      </c>
      <c r="AV860" s="31" t="s">
        <v>2486</v>
      </c>
      <c r="AX860" s="41">
        <f t="shared" si="832"/>
        <v>0</v>
      </c>
      <c r="AY860" s="41">
        <f t="shared" si="833"/>
        <v>0</v>
      </c>
      <c r="AZ860" s="41">
        <v>0</v>
      </c>
      <c r="BA860" s="41">
        <f t="shared" si="834"/>
        <v>0</v>
      </c>
      <c r="BC860" s="21">
        <f t="shared" si="835"/>
        <v>0</v>
      </c>
      <c r="BD860" s="21">
        <f t="shared" si="836"/>
        <v>0</v>
      </c>
      <c r="BE860" s="21">
        <f t="shared" si="837"/>
        <v>0</v>
      </c>
      <c r="BF860" s="21" t="s">
        <v>2492</v>
      </c>
      <c r="BG860" s="41" t="s">
        <v>1379</v>
      </c>
    </row>
    <row r="861" spans="1:59" x14ac:dyDescent="0.3">
      <c r="A861" s="4" t="s">
        <v>820</v>
      </c>
      <c r="B861" s="13"/>
      <c r="C861" s="13" t="s">
        <v>1438</v>
      </c>
      <c r="D861" s="101" t="s">
        <v>2219</v>
      </c>
      <c r="E861" s="102"/>
      <c r="F861" s="13" t="s">
        <v>2385</v>
      </c>
      <c r="G861" s="21">
        <v>1095</v>
      </c>
      <c r="H861" s="21">
        <v>0</v>
      </c>
      <c r="I861" s="21">
        <f t="shared" si="812"/>
        <v>0</v>
      </c>
      <c r="J861" s="21">
        <f t="shared" si="813"/>
        <v>0</v>
      </c>
      <c r="K861" s="21">
        <f t="shared" si="814"/>
        <v>0</v>
      </c>
      <c r="L861" s="21">
        <v>2.1000000000000001E-4</v>
      </c>
      <c r="M861" s="21">
        <f t="shared" si="815"/>
        <v>0.22995000000000002</v>
      </c>
      <c r="N861" s="35" t="s">
        <v>2417</v>
      </c>
      <c r="O861" s="39"/>
      <c r="U861" s="41">
        <f t="shared" si="816"/>
        <v>0</v>
      </c>
      <c r="W861" s="41">
        <f t="shared" si="817"/>
        <v>0</v>
      </c>
      <c r="X861" s="41">
        <f t="shared" si="818"/>
        <v>0</v>
      </c>
      <c r="Y861" s="41">
        <f t="shared" si="819"/>
        <v>0</v>
      </c>
      <c r="Z861" s="41">
        <f t="shared" si="820"/>
        <v>0</v>
      </c>
      <c r="AA861" s="41">
        <f t="shared" si="821"/>
        <v>0</v>
      </c>
      <c r="AB861" s="41">
        <f t="shared" si="822"/>
        <v>0</v>
      </c>
      <c r="AC861" s="41">
        <f t="shared" si="823"/>
        <v>0</v>
      </c>
      <c r="AD861" s="31"/>
      <c r="AE861" s="21">
        <f t="shared" si="824"/>
        <v>0</v>
      </c>
      <c r="AF861" s="21">
        <f t="shared" si="825"/>
        <v>0</v>
      </c>
      <c r="AG861" s="21">
        <f t="shared" si="826"/>
        <v>0</v>
      </c>
      <c r="AI861" s="41">
        <v>21</v>
      </c>
      <c r="AJ861" s="41">
        <f>H861*0.520861372812921</f>
        <v>0</v>
      </c>
      <c r="AK861" s="41">
        <f>H861*(1-0.520861372812921)</f>
        <v>0</v>
      </c>
      <c r="AL861" s="42" t="s">
        <v>8</v>
      </c>
      <c r="AQ861" s="41">
        <f t="shared" si="829"/>
        <v>0</v>
      </c>
      <c r="AR861" s="41">
        <f t="shared" si="830"/>
        <v>0</v>
      </c>
      <c r="AS861" s="41">
        <f t="shared" si="831"/>
        <v>0</v>
      </c>
      <c r="AT861" s="44" t="s">
        <v>2471</v>
      </c>
      <c r="AU861" s="44" t="s">
        <v>2485</v>
      </c>
      <c r="AV861" s="31" t="s">
        <v>2486</v>
      </c>
      <c r="AX861" s="41">
        <f t="shared" si="832"/>
        <v>0</v>
      </c>
      <c r="AY861" s="41">
        <f t="shared" si="833"/>
        <v>0</v>
      </c>
      <c r="AZ861" s="41">
        <v>0</v>
      </c>
      <c r="BA861" s="41">
        <f t="shared" si="834"/>
        <v>0.22995000000000002</v>
      </c>
      <c r="BC861" s="21">
        <f t="shared" si="835"/>
        <v>0</v>
      </c>
      <c r="BD861" s="21">
        <f t="shared" si="836"/>
        <v>0</v>
      </c>
      <c r="BE861" s="21">
        <f t="shared" si="837"/>
        <v>0</v>
      </c>
      <c r="BF861" s="21" t="s">
        <v>2492</v>
      </c>
      <c r="BG861" s="41" t="s">
        <v>1379</v>
      </c>
    </row>
    <row r="862" spans="1:59" x14ac:dyDescent="0.3">
      <c r="A862" s="5"/>
      <c r="B862" s="14"/>
      <c r="C862" s="14" t="s">
        <v>1439</v>
      </c>
      <c r="D862" s="103" t="s">
        <v>2220</v>
      </c>
      <c r="E862" s="104"/>
      <c r="F862" s="19" t="s">
        <v>6</v>
      </c>
      <c r="G862" s="19" t="s">
        <v>6</v>
      </c>
      <c r="H862" s="19" t="s">
        <v>6</v>
      </c>
      <c r="I862" s="47">
        <f>SUM(I863:I911)</f>
        <v>0</v>
      </c>
      <c r="J862" s="47">
        <f>SUM(J863:J911)</f>
        <v>0</v>
      </c>
      <c r="K862" s="47">
        <f>SUM(K863:K911)</f>
        <v>0</v>
      </c>
      <c r="L862" s="31"/>
      <c r="M862" s="47">
        <f>SUM(M863:M911)</f>
        <v>0</v>
      </c>
      <c r="N862" s="36"/>
      <c r="O862" s="39"/>
      <c r="AD862" s="31"/>
      <c r="AN862" s="47">
        <f>SUM(AE863:AE911)</f>
        <v>0</v>
      </c>
      <c r="AO862" s="47">
        <f>SUM(AF863:AF911)</f>
        <v>0</v>
      </c>
      <c r="AP862" s="47">
        <f>SUM(AG863:AG911)</f>
        <v>0</v>
      </c>
    </row>
    <row r="863" spans="1:59" x14ac:dyDescent="0.3">
      <c r="A863" s="4" t="s">
        <v>821</v>
      </c>
      <c r="B863" s="13"/>
      <c r="C863" s="13" t="s">
        <v>1440</v>
      </c>
      <c r="D863" s="101" t="s">
        <v>2221</v>
      </c>
      <c r="E863" s="102"/>
      <c r="F863" s="13" t="s">
        <v>2384</v>
      </c>
      <c r="G863" s="21">
        <v>4</v>
      </c>
      <c r="H863" s="21">
        <v>0</v>
      </c>
      <c r="I863" s="21">
        <f t="shared" ref="I863:I894" si="838">G863*AJ863</f>
        <v>0</v>
      </c>
      <c r="J863" s="21">
        <f t="shared" ref="J863:J894" si="839">G863*AK863</f>
        <v>0</v>
      </c>
      <c r="K863" s="21">
        <f t="shared" ref="K863:K894" si="840">G863*H863</f>
        <v>0</v>
      </c>
      <c r="L863" s="21">
        <v>0</v>
      </c>
      <c r="M863" s="21">
        <f t="shared" ref="M863:M894" si="841">G863*L863</f>
        <v>0</v>
      </c>
      <c r="N863" s="35"/>
      <c r="O863" s="39"/>
      <c r="U863" s="41">
        <f t="shared" ref="U863:U894" si="842">IF(AL863="5",BE863,0)</f>
        <v>0</v>
      </c>
      <c r="W863" s="41">
        <f t="shared" ref="W863:W894" si="843">IF(AL863="1",BC863,0)</f>
        <v>0</v>
      </c>
      <c r="X863" s="41">
        <f t="shared" ref="X863:X894" si="844">IF(AL863="1",BD863,0)</f>
        <v>0</v>
      </c>
      <c r="Y863" s="41">
        <f t="shared" ref="Y863:Y894" si="845">IF(AL863="7",BC863,0)</f>
        <v>0</v>
      </c>
      <c r="Z863" s="41">
        <f t="shared" ref="Z863:Z894" si="846">IF(AL863="7",BD863,0)</f>
        <v>0</v>
      </c>
      <c r="AA863" s="41">
        <f t="shared" ref="AA863:AA894" si="847">IF(AL863="2",BC863,0)</f>
        <v>0</v>
      </c>
      <c r="AB863" s="41">
        <f t="shared" ref="AB863:AB894" si="848">IF(AL863="2",BD863,0)</f>
        <v>0</v>
      </c>
      <c r="AC863" s="41">
        <f t="shared" ref="AC863:AC894" si="849">IF(AL863="0",BE863,0)</f>
        <v>0</v>
      </c>
      <c r="AD863" s="31"/>
      <c r="AE863" s="21">
        <f t="shared" ref="AE863:AE894" si="850">IF(AI863=0,K863,0)</f>
        <v>0</v>
      </c>
      <c r="AF863" s="21">
        <f t="shared" ref="AF863:AF894" si="851">IF(AI863=15,K863,0)</f>
        <v>0</v>
      </c>
      <c r="AG863" s="21">
        <f t="shared" ref="AG863:AG894" si="852">IF(AI863=21,K863,0)</f>
        <v>0</v>
      </c>
      <c r="AI863" s="41">
        <v>21</v>
      </c>
      <c r="AJ863" s="41">
        <f t="shared" ref="AJ863:AJ894" si="853">H863*0</f>
        <v>0</v>
      </c>
      <c r="AK863" s="41">
        <f t="shared" ref="AK863:AK894" si="854">H863*(1-0)</f>
        <v>0</v>
      </c>
      <c r="AL863" s="42" t="s">
        <v>8</v>
      </c>
      <c r="AQ863" s="41">
        <f t="shared" ref="AQ863:AQ894" si="855">AR863+AS863</f>
        <v>0</v>
      </c>
      <c r="AR863" s="41">
        <f t="shared" ref="AR863:AR894" si="856">G863*AJ863</f>
        <v>0</v>
      </c>
      <c r="AS863" s="41">
        <f t="shared" ref="AS863:AS894" si="857">G863*AK863</f>
        <v>0</v>
      </c>
      <c r="AT863" s="44" t="s">
        <v>2472</v>
      </c>
      <c r="AU863" s="44" t="s">
        <v>2485</v>
      </c>
      <c r="AV863" s="31" t="s">
        <v>2486</v>
      </c>
      <c r="AX863" s="41">
        <f t="shared" ref="AX863:AX894" si="858">AR863+AS863</f>
        <v>0</v>
      </c>
      <c r="AY863" s="41">
        <f t="shared" ref="AY863:AY894" si="859">H863/(100-AZ863)*100</f>
        <v>0</v>
      </c>
      <c r="AZ863" s="41">
        <v>0</v>
      </c>
      <c r="BA863" s="41">
        <f t="shared" ref="BA863:BA894" si="860">M863</f>
        <v>0</v>
      </c>
      <c r="BC863" s="21">
        <f t="shared" ref="BC863:BC894" si="861">G863*AJ863</f>
        <v>0</v>
      </c>
      <c r="BD863" s="21">
        <f t="shared" ref="BD863:BD894" si="862">G863*AK863</f>
        <v>0</v>
      </c>
      <c r="BE863" s="21">
        <f t="shared" ref="BE863:BE894" si="863">G863*H863</f>
        <v>0</v>
      </c>
      <c r="BF863" s="21" t="s">
        <v>2492</v>
      </c>
      <c r="BG863" s="41" t="s">
        <v>1439</v>
      </c>
    </row>
    <row r="864" spans="1:59" x14ac:dyDescent="0.3">
      <c r="A864" s="4" t="s">
        <v>822</v>
      </c>
      <c r="B864" s="13"/>
      <c r="C864" s="13" t="s">
        <v>1441</v>
      </c>
      <c r="D864" s="101" t="s">
        <v>2222</v>
      </c>
      <c r="E864" s="102"/>
      <c r="F864" s="13" t="s">
        <v>2384</v>
      </c>
      <c r="G864" s="21">
        <v>4</v>
      </c>
      <c r="H864" s="21">
        <v>0</v>
      </c>
      <c r="I864" s="21">
        <f t="shared" si="838"/>
        <v>0</v>
      </c>
      <c r="J864" s="21">
        <f t="shared" si="839"/>
        <v>0</v>
      </c>
      <c r="K864" s="21">
        <f t="shared" si="840"/>
        <v>0</v>
      </c>
      <c r="L864" s="21">
        <v>0</v>
      </c>
      <c r="M864" s="21">
        <f t="shared" si="841"/>
        <v>0</v>
      </c>
      <c r="N864" s="35"/>
      <c r="O864" s="39"/>
      <c r="U864" s="41">
        <f t="shared" si="842"/>
        <v>0</v>
      </c>
      <c r="W864" s="41">
        <f t="shared" si="843"/>
        <v>0</v>
      </c>
      <c r="X864" s="41">
        <f t="shared" si="844"/>
        <v>0</v>
      </c>
      <c r="Y864" s="41">
        <f t="shared" si="845"/>
        <v>0</v>
      </c>
      <c r="Z864" s="41">
        <f t="shared" si="846"/>
        <v>0</v>
      </c>
      <c r="AA864" s="41">
        <f t="shared" si="847"/>
        <v>0</v>
      </c>
      <c r="AB864" s="41">
        <f t="shared" si="848"/>
        <v>0</v>
      </c>
      <c r="AC864" s="41">
        <f t="shared" si="849"/>
        <v>0</v>
      </c>
      <c r="AD864" s="31"/>
      <c r="AE864" s="21">
        <f t="shared" si="850"/>
        <v>0</v>
      </c>
      <c r="AF864" s="21">
        <f t="shared" si="851"/>
        <v>0</v>
      </c>
      <c r="AG864" s="21">
        <f t="shared" si="852"/>
        <v>0</v>
      </c>
      <c r="AI864" s="41">
        <v>21</v>
      </c>
      <c r="AJ864" s="41">
        <f t="shared" si="853"/>
        <v>0</v>
      </c>
      <c r="AK864" s="41">
        <f t="shared" si="854"/>
        <v>0</v>
      </c>
      <c r="AL864" s="42" t="s">
        <v>8</v>
      </c>
      <c r="AQ864" s="41">
        <f t="shared" si="855"/>
        <v>0</v>
      </c>
      <c r="AR864" s="41">
        <f t="shared" si="856"/>
        <v>0</v>
      </c>
      <c r="AS864" s="41">
        <f t="shared" si="857"/>
        <v>0</v>
      </c>
      <c r="AT864" s="44" t="s">
        <v>2472</v>
      </c>
      <c r="AU864" s="44" t="s">
        <v>2485</v>
      </c>
      <c r="AV864" s="31" t="s">
        <v>2486</v>
      </c>
      <c r="AX864" s="41">
        <f t="shared" si="858"/>
        <v>0</v>
      </c>
      <c r="AY864" s="41">
        <f t="shared" si="859"/>
        <v>0</v>
      </c>
      <c r="AZ864" s="41">
        <v>0</v>
      </c>
      <c r="BA864" s="41">
        <f t="shared" si="860"/>
        <v>0</v>
      </c>
      <c r="BC864" s="21">
        <f t="shared" si="861"/>
        <v>0</v>
      </c>
      <c r="BD864" s="21">
        <f t="shared" si="862"/>
        <v>0</v>
      </c>
      <c r="BE864" s="21">
        <f t="shared" si="863"/>
        <v>0</v>
      </c>
      <c r="BF864" s="21" t="s">
        <v>2492</v>
      </c>
      <c r="BG864" s="41" t="s">
        <v>1439</v>
      </c>
    </row>
    <row r="865" spans="1:59" x14ac:dyDescent="0.3">
      <c r="A865" s="4" t="s">
        <v>823</v>
      </c>
      <c r="B865" s="13"/>
      <c r="C865" s="13" t="s">
        <v>1442</v>
      </c>
      <c r="D865" s="101" t="s">
        <v>2223</v>
      </c>
      <c r="E865" s="102"/>
      <c r="F865" s="13" t="s">
        <v>2384</v>
      </c>
      <c r="G865" s="21">
        <v>4</v>
      </c>
      <c r="H865" s="21">
        <v>0</v>
      </c>
      <c r="I865" s="21">
        <f t="shared" si="838"/>
        <v>0</v>
      </c>
      <c r="J865" s="21">
        <f t="shared" si="839"/>
        <v>0</v>
      </c>
      <c r="K865" s="21">
        <f t="shared" si="840"/>
        <v>0</v>
      </c>
      <c r="L865" s="21">
        <v>0</v>
      </c>
      <c r="M865" s="21">
        <f t="shared" si="841"/>
        <v>0</v>
      </c>
      <c r="N865" s="35"/>
      <c r="O865" s="39"/>
      <c r="U865" s="41">
        <f t="shared" si="842"/>
        <v>0</v>
      </c>
      <c r="W865" s="41">
        <f t="shared" si="843"/>
        <v>0</v>
      </c>
      <c r="X865" s="41">
        <f t="shared" si="844"/>
        <v>0</v>
      </c>
      <c r="Y865" s="41">
        <f t="shared" si="845"/>
        <v>0</v>
      </c>
      <c r="Z865" s="41">
        <f t="shared" si="846"/>
        <v>0</v>
      </c>
      <c r="AA865" s="41">
        <f t="shared" si="847"/>
        <v>0</v>
      </c>
      <c r="AB865" s="41">
        <f t="shared" si="848"/>
        <v>0</v>
      </c>
      <c r="AC865" s="41">
        <f t="shared" si="849"/>
        <v>0</v>
      </c>
      <c r="AD865" s="31"/>
      <c r="AE865" s="21">
        <f t="shared" si="850"/>
        <v>0</v>
      </c>
      <c r="AF865" s="21">
        <f t="shared" si="851"/>
        <v>0</v>
      </c>
      <c r="AG865" s="21">
        <f t="shared" si="852"/>
        <v>0</v>
      </c>
      <c r="AI865" s="41">
        <v>21</v>
      </c>
      <c r="AJ865" s="41">
        <f t="shared" si="853"/>
        <v>0</v>
      </c>
      <c r="AK865" s="41">
        <f t="shared" si="854"/>
        <v>0</v>
      </c>
      <c r="AL865" s="42" t="s">
        <v>8</v>
      </c>
      <c r="AQ865" s="41">
        <f t="shared" si="855"/>
        <v>0</v>
      </c>
      <c r="AR865" s="41">
        <f t="shared" si="856"/>
        <v>0</v>
      </c>
      <c r="AS865" s="41">
        <f t="shared" si="857"/>
        <v>0</v>
      </c>
      <c r="AT865" s="44" t="s">
        <v>2472</v>
      </c>
      <c r="AU865" s="44" t="s">
        <v>2485</v>
      </c>
      <c r="AV865" s="31" t="s">
        <v>2486</v>
      </c>
      <c r="AX865" s="41">
        <f t="shared" si="858"/>
        <v>0</v>
      </c>
      <c r="AY865" s="41">
        <f t="shared" si="859"/>
        <v>0</v>
      </c>
      <c r="AZ865" s="41">
        <v>0</v>
      </c>
      <c r="BA865" s="41">
        <f t="shared" si="860"/>
        <v>0</v>
      </c>
      <c r="BC865" s="21">
        <f t="shared" si="861"/>
        <v>0</v>
      </c>
      <c r="BD865" s="21">
        <f t="shared" si="862"/>
        <v>0</v>
      </c>
      <c r="BE865" s="21">
        <f t="shared" si="863"/>
        <v>0</v>
      </c>
      <c r="BF865" s="21" t="s">
        <v>2492</v>
      </c>
      <c r="BG865" s="41" t="s">
        <v>1439</v>
      </c>
    </row>
    <row r="866" spans="1:59" x14ac:dyDescent="0.3">
      <c r="A866" s="4" t="s">
        <v>824</v>
      </c>
      <c r="B866" s="13"/>
      <c r="C866" s="13" t="s">
        <v>1443</v>
      </c>
      <c r="D866" s="101" t="s">
        <v>2224</v>
      </c>
      <c r="E866" s="102"/>
      <c r="F866" s="13" t="s">
        <v>2384</v>
      </c>
      <c r="G866" s="21">
        <v>7</v>
      </c>
      <c r="H866" s="21">
        <v>0</v>
      </c>
      <c r="I866" s="21">
        <f t="shared" si="838"/>
        <v>0</v>
      </c>
      <c r="J866" s="21">
        <f t="shared" si="839"/>
        <v>0</v>
      </c>
      <c r="K866" s="21">
        <f t="shared" si="840"/>
        <v>0</v>
      </c>
      <c r="L866" s="21">
        <v>0</v>
      </c>
      <c r="M866" s="21">
        <f t="shared" si="841"/>
        <v>0</v>
      </c>
      <c r="N866" s="35"/>
      <c r="O866" s="39"/>
      <c r="U866" s="41">
        <f t="shared" si="842"/>
        <v>0</v>
      </c>
      <c r="W866" s="41">
        <f t="shared" si="843"/>
        <v>0</v>
      </c>
      <c r="X866" s="41">
        <f t="shared" si="844"/>
        <v>0</v>
      </c>
      <c r="Y866" s="41">
        <f t="shared" si="845"/>
        <v>0</v>
      </c>
      <c r="Z866" s="41">
        <f t="shared" si="846"/>
        <v>0</v>
      </c>
      <c r="AA866" s="41">
        <f t="shared" si="847"/>
        <v>0</v>
      </c>
      <c r="AB866" s="41">
        <f t="shared" si="848"/>
        <v>0</v>
      </c>
      <c r="AC866" s="41">
        <f t="shared" si="849"/>
        <v>0</v>
      </c>
      <c r="AD866" s="31"/>
      <c r="AE866" s="21">
        <f t="shared" si="850"/>
        <v>0</v>
      </c>
      <c r="AF866" s="21">
        <f t="shared" si="851"/>
        <v>0</v>
      </c>
      <c r="AG866" s="21">
        <f t="shared" si="852"/>
        <v>0</v>
      </c>
      <c r="AI866" s="41">
        <v>21</v>
      </c>
      <c r="AJ866" s="41">
        <f t="shared" si="853"/>
        <v>0</v>
      </c>
      <c r="AK866" s="41">
        <f t="shared" si="854"/>
        <v>0</v>
      </c>
      <c r="AL866" s="42" t="s">
        <v>8</v>
      </c>
      <c r="AQ866" s="41">
        <f t="shared" si="855"/>
        <v>0</v>
      </c>
      <c r="AR866" s="41">
        <f t="shared" si="856"/>
        <v>0</v>
      </c>
      <c r="AS866" s="41">
        <f t="shared" si="857"/>
        <v>0</v>
      </c>
      <c r="AT866" s="44" t="s">
        <v>2472</v>
      </c>
      <c r="AU866" s="44" t="s">
        <v>2485</v>
      </c>
      <c r="AV866" s="31" t="s">
        <v>2486</v>
      </c>
      <c r="AX866" s="41">
        <f t="shared" si="858"/>
        <v>0</v>
      </c>
      <c r="AY866" s="41">
        <f t="shared" si="859"/>
        <v>0</v>
      </c>
      <c r="AZ866" s="41">
        <v>0</v>
      </c>
      <c r="BA866" s="41">
        <f t="shared" si="860"/>
        <v>0</v>
      </c>
      <c r="BC866" s="21">
        <f t="shared" si="861"/>
        <v>0</v>
      </c>
      <c r="BD866" s="21">
        <f t="shared" si="862"/>
        <v>0</v>
      </c>
      <c r="BE866" s="21">
        <f t="shared" si="863"/>
        <v>0</v>
      </c>
      <c r="BF866" s="21" t="s">
        <v>2492</v>
      </c>
      <c r="BG866" s="41" t="s">
        <v>1439</v>
      </c>
    </row>
    <row r="867" spans="1:59" x14ac:dyDescent="0.3">
      <c r="A867" s="4" t="s">
        <v>825</v>
      </c>
      <c r="B867" s="13"/>
      <c r="C867" s="13" t="s">
        <v>1444</v>
      </c>
      <c r="D867" s="101" t="s">
        <v>2225</v>
      </c>
      <c r="E867" s="102"/>
      <c r="F867" s="13" t="s">
        <v>2384</v>
      </c>
      <c r="G867" s="21">
        <v>7</v>
      </c>
      <c r="H867" s="21">
        <v>0</v>
      </c>
      <c r="I867" s="21">
        <f t="shared" si="838"/>
        <v>0</v>
      </c>
      <c r="J867" s="21">
        <f t="shared" si="839"/>
        <v>0</v>
      </c>
      <c r="K867" s="21">
        <f t="shared" si="840"/>
        <v>0</v>
      </c>
      <c r="L867" s="21">
        <v>0</v>
      </c>
      <c r="M867" s="21">
        <f t="shared" si="841"/>
        <v>0</v>
      </c>
      <c r="N867" s="35"/>
      <c r="O867" s="39"/>
      <c r="U867" s="41">
        <f t="shared" si="842"/>
        <v>0</v>
      </c>
      <c r="W867" s="41">
        <f t="shared" si="843"/>
        <v>0</v>
      </c>
      <c r="X867" s="41">
        <f t="shared" si="844"/>
        <v>0</v>
      </c>
      <c r="Y867" s="41">
        <f t="shared" si="845"/>
        <v>0</v>
      </c>
      <c r="Z867" s="41">
        <f t="shared" si="846"/>
        <v>0</v>
      </c>
      <c r="AA867" s="41">
        <f t="shared" si="847"/>
        <v>0</v>
      </c>
      <c r="AB867" s="41">
        <f t="shared" si="848"/>
        <v>0</v>
      </c>
      <c r="AC867" s="41">
        <f t="shared" si="849"/>
        <v>0</v>
      </c>
      <c r="AD867" s="31"/>
      <c r="AE867" s="21">
        <f t="shared" si="850"/>
        <v>0</v>
      </c>
      <c r="AF867" s="21">
        <f t="shared" si="851"/>
        <v>0</v>
      </c>
      <c r="AG867" s="21">
        <f t="shared" si="852"/>
        <v>0</v>
      </c>
      <c r="AI867" s="41">
        <v>21</v>
      </c>
      <c r="AJ867" s="41">
        <f t="shared" si="853"/>
        <v>0</v>
      </c>
      <c r="AK867" s="41">
        <f t="shared" si="854"/>
        <v>0</v>
      </c>
      <c r="AL867" s="42" t="s">
        <v>8</v>
      </c>
      <c r="AQ867" s="41">
        <f t="shared" si="855"/>
        <v>0</v>
      </c>
      <c r="AR867" s="41">
        <f t="shared" si="856"/>
        <v>0</v>
      </c>
      <c r="AS867" s="41">
        <f t="shared" si="857"/>
        <v>0</v>
      </c>
      <c r="AT867" s="44" t="s">
        <v>2472</v>
      </c>
      <c r="AU867" s="44" t="s">
        <v>2485</v>
      </c>
      <c r="AV867" s="31" t="s">
        <v>2486</v>
      </c>
      <c r="AX867" s="41">
        <f t="shared" si="858"/>
        <v>0</v>
      </c>
      <c r="AY867" s="41">
        <f t="shared" si="859"/>
        <v>0</v>
      </c>
      <c r="AZ867" s="41">
        <v>0</v>
      </c>
      <c r="BA867" s="41">
        <f t="shared" si="860"/>
        <v>0</v>
      </c>
      <c r="BC867" s="21">
        <f t="shared" si="861"/>
        <v>0</v>
      </c>
      <c r="BD867" s="21">
        <f t="shared" si="862"/>
        <v>0</v>
      </c>
      <c r="BE867" s="21">
        <f t="shared" si="863"/>
        <v>0</v>
      </c>
      <c r="BF867" s="21" t="s">
        <v>2492</v>
      </c>
      <c r="BG867" s="41" t="s">
        <v>1439</v>
      </c>
    </row>
    <row r="868" spans="1:59" x14ac:dyDescent="0.3">
      <c r="A868" s="4" t="s">
        <v>826</v>
      </c>
      <c r="B868" s="13"/>
      <c r="C868" s="13" t="s">
        <v>1445</v>
      </c>
      <c r="D868" s="101" t="s">
        <v>2226</v>
      </c>
      <c r="E868" s="102"/>
      <c r="F868" s="13" t="s">
        <v>2384</v>
      </c>
      <c r="G868" s="21">
        <v>84</v>
      </c>
      <c r="H868" s="21">
        <v>0</v>
      </c>
      <c r="I868" s="21">
        <f t="shared" si="838"/>
        <v>0</v>
      </c>
      <c r="J868" s="21">
        <f t="shared" si="839"/>
        <v>0</v>
      </c>
      <c r="K868" s="21">
        <f t="shared" si="840"/>
        <v>0</v>
      </c>
      <c r="L868" s="21">
        <v>0</v>
      </c>
      <c r="M868" s="21">
        <f t="shared" si="841"/>
        <v>0</v>
      </c>
      <c r="N868" s="35"/>
      <c r="O868" s="39"/>
      <c r="U868" s="41">
        <f t="shared" si="842"/>
        <v>0</v>
      </c>
      <c r="W868" s="41">
        <f t="shared" si="843"/>
        <v>0</v>
      </c>
      <c r="X868" s="41">
        <f t="shared" si="844"/>
        <v>0</v>
      </c>
      <c r="Y868" s="41">
        <f t="shared" si="845"/>
        <v>0</v>
      </c>
      <c r="Z868" s="41">
        <f t="shared" si="846"/>
        <v>0</v>
      </c>
      <c r="AA868" s="41">
        <f t="shared" si="847"/>
        <v>0</v>
      </c>
      <c r="AB868" s="41">
        <f t="shared" si="848"/>
        <v>0</v>
      </c>
      <c r="AC868" s="41">
        <f t="shared" si="849"/>
        <v>0</v>
      </c>
      <c r="AD868" s="31"/>
      <c r="AE868" s="21">
        <f t="shared" si="850"/>
        <v>0</v>
      </c>
      <c r="AF868" s="21">
        <f t="shared" si="851"/>
        <v>0</v>
      </c>
      <c r="AG868" s="21">
        <f t="shared" si="852"/>
        <v>0</v>
      </c>
      <c r="AI868" s="41">
        <v>21</v>
      </c>
      <c r="AJ868" s="41">
        <f t="shared" si="853"/>
        <v>0</v>
      </c>
      <c r="AK868" s="41">
        <f t="shared" si="854"/>
        <v>0</v>
      </c>
      <c r="AL868" s="42" t="s">
        <v>8</v>
      </c>
      <c r="AQ868" s="41">
        <f t="shared" si="855"/>
        <v>0</v>
      </c>
      <c r="AR868" s="41">
        <f t="shared" si="856"/>
        <v>0</v>
      </c>
      <c r="AS868" s="41">
        <f t="shared" si="857"/>
        <v>0</v>
      </c>
      <c r="AT868" s="44" t="s">
        <v>2472</v>
      </c>
      <c r="AU868" s="44" t="s">
        <v>2485</v>
      </c>
      <c r="AV868" s="31" t="s">
        <v>2486</v>
      </c>
      <c r="AX868" s="41">
        <f t="shared" si="858"/>
        <v>0</v>
      </c>
      <c r="AY868" s="41">
        <f t="shared" si="859"/>
        <v>0</v>
      </c>
      <c r="AZ868" s="41">
        <v>0</v>
      </c>
      <c r="BA868" s="41">
        <f t="shared" si="860"/>
        <v>0</v>
      </c>
      <c r="BC868" s="21">
        <f t="shared" si="861"/>
        <v>0</v>
      </c>
      <c r="BD868" s="21">
        <f t="shared" si="862"/>
        <v>0</v>
      </c>
      <c r="BE868" s="21">
        <f t="shared" si="863"/>
        <v>0</v>
      </c>
      <c r="BF868" s="21" t="s">
        <v>2492</v>
      </c>
      <c r="BG868" s="41" t="s">
        <v>1439</v>
      </c>
    </row>
    <row r="869" spans="1:59" x14ac:dyDescent="0.3">
      <c r="A869" s="4" t="s">
        <v>827</v>
      </c>
      <c r="B869" s="13"/>
      <c r="C869" s="13" t="s">
        <v>1446</v>
      </c>
      <c r="D869" s="101" t="s">
        <v>2227</v>
      </c>
      <c r="E869" s="102"/>
      <c r="F869" s="13" t="s">
        <v>2384</v>
      </c>
      <c r="G869" s="21">
        <v>84</v>
      </c>
      <c r="H869" s="21">
        <v>0</v>
      </c>
      <c r="I869" s="21">
        <f t="shared" si="838"/>
        <v>0</v>
      </c>
      <c r="J869" s="21">
        <f t="shared" si="839"/>
        <v>0</v>
      </c>
      <c r="K869" s="21">
        <f t="shared" si="840"/>
        <v>0</v>
      </c>
      <c r="L869" s="21">
        <v>0</v>
      </c>
      <c r="M869" s="21">
        <f t="shared" si="841"/>
        <v>0</v>
      </c>
      <c r="N869" s="35"/>
      <c r="O869" s="39"/>
      <c r="U869" s="41">
        <f t="shared" si="842"/>
        <v>0</v>
      </c>
      <c r="W869" s="41">
        <f t="shared" si="843"/>
        <v>0</v>
      </c>
      <c r="X869" s="41">
        <f t="shared" si="844"/>
        <v>0</v>
      </c>
      <c r="Y869" s="41">
        <f t="shared" si="845"/>
        <v>0</v>
      </c>
      <c r="Z869" s="41">
        <f t="shared" si="846"/>
        <v>0</v>
      </c>
      <c r="AA869" s="41">
        <f t="shared" si="847"/>
        <v>0</v>
      </c>
      <c r="AB869" s="41">
        <f t="shared" si="848"/>
        <v>0</v>
      </c>
      <c r="AC869" s="41">
        <f t="shared" si="849"/>
        <v>0</v>
      </c>
      <c r="AD869" s="31"/>
      <c r="AE869" s="21">
        <f t="shared" si="850"/>
        <v>0</v>
      </c>
      <c r="AF869" s="21">
        <f t="shared" si="851"/>
        <v>0</v>
      </c>
      <c r="AG869" s="21">
        <f t="shared" si="852"/>
        <v>0</v>
      </c>
      <c r="AI869" s="41">
        <v>21</v>
      </c>
      <c r="AJ869" s="41">
        <f t="shared" si="853"/>
        <v>0</v>
      </c>
      <c r="AK869" s="41">
        <f t="shared" si="854"/>
        <v>0</v>
      </c>
      <c r="AL869" s="42" t="s">
        <v>8</v>
      </c>
      <c r="AQ869" s="41">
        <f t="shared" si="855"/>
        <v>0</v>
      </c>
      <c r="AR869" s="41">
        <f t="shared" si="856"/>
        <v>0</v>
      </c>
      <c r="AS869" s="41">
        <f t="shared" si="857"/>
        <v>0</v>
      </c>
      <c r="AT869" s="44" t="s">
        <v>2472</v>
      </c>
      <c r="AU869" s="44" t="s">
        <v>2485</v>
      </c>
      <c r="AV869" s="31" t="s">
        <v>2486</v>
      </c>
      <c r="AX869" s="41">
        <f t="shared" si="858"/>
        <v>0</v>
      </c>
      <c r="AY869" s="41">
        <f t="shared" si="859"/>
        <v>0</v>
      </c>
      <c r="AZ869" s="41">
        <v>0</v>
      </c>
      <c r="BA869" s="41">
        <f t="shared" si="860"/>
        <v>0</v>
      </c>
      <c r="BC869" s="21">
        <f t="shared" si="861"/>
        <v>0</v>
      </c>
      <c r="BD869" s="21">
        <f t="shared" si="862"/>
        <v>0</v>
      </c>
      <c r="BE869" s="21">
        <f t="shared" si="863"/>
        <v>0</v>
      </c>
      <c r="BF869" s="21" t="s">
        <v>2492</v>
      </c>
      <c r="BG869" s="41" t="s">
        <v>1439</v>
      </c>
    </row>
    <row r="870" spans="1:59" x14ac:dyDescent="0.3">
      <c r="A870" s="4" t="s">
        <v>828</v>
      </c>
      <c r="B870" s="13"/>
      <c r="C870" s="13" t="s">
        <v>1447</v>
      </c>
      <c r="D870" s="101" t="s">
        <v>2228</v>
      </c>
      <c r="E870" s="102"/>
      <c r="F870" s="13" t="s">
        <v>2384</v>
      </c>
      <c r="G870" s="21">
        <v>84</v>
      </c>
      <c r="H870" s="21">
        <v>0</v>
      </c>
      <c r="I870" s="21">
        <f t="shared" si="838"/>
        <v>0</v>
      </c>
      <c r="J870" s="21">
        <f t="shared" si="839"/>
        <v>0</v>
      </c>
      <c r="K870" s="21">
        <f t="shared" si="840"/>
        <v>0</v>
      </c>
      <c r="L870" s="21">
        <v>0</v>
      </c>
      <c r="M870" s="21">
        <f t="shared" si="841"/>
        <v>0</v>
      </c>
      <c r="N870" s="35"/>
      <c r="O870" s="39"/>
      <c r="U870" s="41">
        <f t="shared" si="842"/>
        <v>0</v>
      </c>
      <c r="W870" s="41">
        <f t="shared" si="843"/>
        <v>0</v>
      </c>
      <c r="X870" s="41">
        <f t="shared" si="844"/>
        <v>0</v>
      </c>
      <c r="Y870" s="41">
        <f t="shared" si="845"/>
        <v>0</v>
      </c>
      <c r="Z870" s="41">
        <f t="shared" si="846"/>
        <v>0</v>
      </c>
      <c r="AA870" s="41">
        <f t="shared" si="847"/>
        <v>0</v>
      </c>
      <c r="AB870" s="41">
        <f t="shared" si="848"/>
        <v>0</v>
      </c>
      <c r="AC870" s="41">
        <f t="shared" si="849"/>
        <v>0</v>
      </c>
      <c r="AD870" s="31"/>
      <c r="AE870" s="21">
        <f t="shared" si="850"/>
        <v>0</v>
      </c>
      <c r="AF870" s="21">
        <f t="shared" si="851"/>
        <v>0</v>
      </c>
      <c r="AG870" s="21">
        <f t="shared" si="852"/>
        <v>0</v>
      </c>
      <c r="AI870" s="41">
        <v>21</v>
      </c>
      <c r="AJ870" s="41">
        <f t="shared" si="853"/>
        <v>0</v>
      </c>
      <c r="AK870" s="41">
        <f t="shared" si="854"/>
        <v>0</v>
      </c>
      <c r="AL870" s="42" t="s">
        <v>8</v>
      </c>
      <c r="AQ870" s="41">
        <f t="shared" si="855"/>
        <v>0</v>
      </c>
      <c r="AR870" s="41">
        <f t="shared" si="856"/>
        <v>0</v>
      </c>
      <c r="AS870" s="41">
        <f t="shared" si="857"/>
        <v>0</v>
      </c>
      <c r="AT870" s="44" t="s">
        <v>2472</v>
      </c>
      <c r="AU870" s="44" t="s">
        <v>2485</v>
      </c>
      <c r="AV870" s="31" t="s">
        <v>2486</v>
      </c>
      <c r="AX870" s="41">
        <f t="shared" si="858"/>
        <v>0</v>
      </c>
      <c r="AY870" s="41">
        <f t="shared" si="859"/>
        <v>0</v>
      </c>
      <c r="AZ870" s="41">
        <v>0</v>
      </c>
      <c r="BA870" s="41">
        <f t="shared" si="860"/>
        <v>0</v>
      </c>
      <c r="BC870" s="21">
        <f t="shared" si="861"/>
        <v>0</v>
      </c>
      <c r="BD870" s="21">
        <f t="shared" si="862"/>
        <v>0</v>
      </c>
      <c r="BE870" s="21">
        <f t="shared" si="863"/>
        <v>0</v>
      </c>
      <c r="BF870" s="21" t="s">
        <v>2492</v>
      </c>
      <c r="BG870" s="41" t="s">
        <v>1439</v>
      </c>
    </row>
    <row r="871" spans="1:59" x14ac:dyDescent="0.3">
      <c r="A871" s="4" t="s">
        <v>829</v>
      </c>
      <c r="B871" s="13"/>
      <c r="C871" s="13" t="s">
        <v>1448</v>
      </c>
      <c r="D871" s="101" t="s">
        <v>2229</v>
      </c>
      <c r="E871" s="102"/>
      <c r="F871" s="13" t="s">
        <v>2384</v>
      </c>
      <c r="G871" s="21">
        <v>5</v>
      </c>
      <c r="H871" s="21">
        <v>0</v>
      </c>
      <c r="I871" s="21">
        <f t="shared" si="838"/>
        <v>0</v>
      </c>
      <c r="J871" s="21">
        <f t="shared" si="839"/>
        <v>0</v>
      </c>
      <c r="K871" s="21">
        <f t="shared" si="840"/>
        <v>0</v>
      </c>
      <c r="L871" s="21">
        <v>0</v>
      </c>
      <c r="M871" s="21">
        <f t="shared" si="841"/>
        <v>0</v>
      </c>
      <c r="N871" s="35"/>
      <c r="O871" s="39"/>
      <c r="U871" s="41">
        <f t="shared" si="842"/>
        <v>0</v>
      </c>
      <c r="W871" s="41">
        <f t="shared" si="843"/>
        <v>0</v>
      </c>
      <c r="X871" s="41">
        <f t="shared" si="844"/>
        <v>0</v>
      </c>
      <c r="Y871" s="41">
        <f t="shared" si="845"/>
        <v>0</v>
      </c>
      <c r="Z871" s="41">
        <f t="shared" si="846"/>
        <v>0</v>
      </c>
      <c r="AA871" s="41">
        <f t="shared" si="847"/>
        <v>0</v>
      </c>
      <c r="AB871" s="41">
        <f t="shared" si="848"/>
        <v>0</v>
      </c>
      <c r="AC871" s="41">
        <f t="shared" si="849"/>
        <v>0</v>
      </c>
      <c r="AD871" s="31"/>
      <c r="AE871" s="21">
        <f t="shared" si="850"/>
        <v>0</v>
      </c>
      <c r="AF871" s="21">
        <f t="shared" si="851"/>
        <v>0</v>
      </c>
      <c r="AG871" s="21">
        <f t="shared" si="852"/>
        <v>0</v>
      </c>
      <c r="AI871" s="41">
        <v>21</v>
      </c>
      <c r="AJ871" s="41">
        <f t="shared" si="853"/>
        <v>0</v>
      </c>
      <c r="AK871" s="41">
        <f t="shared" si="854"/>
        <v>0</v>
      </c>
      <c r="AL871" s="42" t="s">
        <v>8</v>
      </c>
      <c r="AQ871" s="41">
        <f t="shared" si="855"/>
        <v>0</v>
      </c>
      <c r="AR871" s="41">
        <f t="shared" si="856"/>
        <v>0</v>
      </c>
      <c r="AS871" s="41">
        <f t="shared" si="857"/>
        <v>0</v>
      </c>
      <c r="AT871" s="44" t="s">
        <v>2472</v>
      </c>
      <c r="AU871" s="44" t="s">
        <v>2485</v>
      </c>
      <c r="AV871" s="31" t="s">
        <v>2486</v>
      </c>
      <c r="AX871" s="41">
        <f t="shared" si="858"/>
        <v>0</v>
      </c>
      <c r="AY871" s="41">
        <f t="shared" si="859"/>
        <v>0</v>
      </c>
      <c r="AZ871" s="41">
        <v>0</v>
      </c>
      <c r="BA871" s="41">
        <f t="shared" si="860"/>
        <v>0</v>
      </c>
      <c r="BC871" s="21">
        <f t="shared" si="861"/>
        <v>0</v>
      </c>
      <c r="BD871" s="21">
        <f t="shared" si="862"/>
        <v>0</v>
      </c>
      <c r="BE871" s="21">
        <f t="shared" si="863"/>
        <v>0</v>
      </c>
      <c r="BF871" s="21" t="s">
        <v>2492</v>
      </c>
      <c r="BG871" s="41" t="s">
        <v>1439</v>
      </c>
    </row>
    <row r="872" spans="1:59" x14ac:dyDescent="0.3">
      <c r="A872" s="4" t="s">
        <v>830</v>
      </c>
      <c r="B872" s="13"/>
      <c r="C872" s="13" t="s">
        <v>1449</v>
      </c>
      <c r="D872" s="101" t="s">
        <v>2230</v>
      </c>
      <c r="E872" s="102"/>
      <c r="F872" s="13" t="s">
        <v>2384</v>
      </c>
      <c r="G872" s="21">
        <v>84</v>
      </c>
      <c r="H872" s="21">
        <v>0</v>
      </c>
      <c r="I872" s="21">
        <f t="shared" si="838"/>
        <v>0</v>
      </c>
      <c r="J872" s="21">
        <f t="shared" si="839"/>
        <v>0</v>
      </c>
      <c r="K872" s="21">
        <f t="shared" si="840"/>
        <v>0</v>
      </c>
      <c r="L872" s="21">
        <v>0</v>
      </c>
      <c r="M872" s="21">
        <f t="shared" si="841"/>
        <v>0</v>
      </c>
      <c r="N872" s="35"/>
      <c r="O872" s="39"/>
      <c r="U872" s="41">
        <f t="shared" si="842"/>
        <v>0</v>
      </c>
      <c r="W872" s="41">
        <f t="shared" si="843"/>
        <v>0</v>
      </c>
      <c r="X872" s="41">
        <f t="shared" si="844"/>
        <v>0</v>
      </c>
      <c r="Y872" s="41">
        <f t="shared" si="845"/>
        <v>0</v>
      </c>
      <c r="Z872" s="41">
        <f t="shared" si="846"/>
        <v>0</v>
      </c>
      <c r="AA872" s="41">
        <f t="shared" si="847"/>
        <v>0</v>
      </c>
      <c r="AB872" s="41">
        <f t="shared" si="848"/>
        <v>0</v>
      </c>
      <c r="AC872" s="41">
        <f t="shared" si="849"/>
        <v>0</v>
      </c>
      <c r="AD872" s="31"/>
      <c r="AE872" s="21">
        <f t="shared" si="850"/>
        <v>0</v>
      </c>
      <c r="AF872" s="21">
        <f t="shared" si="851"/>
        <v>0</v>
      </c>
      <c r="AG872" s="21">
        <f t="shared" si="852"/>
        <v>0</v>
      </c>
      <c r="AI872" s="41">
        <v>21</v>
      </c>
      <c r="AJ872" s="41">
        <f t="shared" si="853"/>
        <v>0</v>
      </c>
      <c r="AK872" s="41">
        <f t="shared" si="854"/>
        <v>0</v>
      </c>
      <c r="AL872" s="42" t="s">
        <v>8</v>
      </c>
      <c r="AQ872" s="41">
        <f t="shared" si="855"/>
        <v>0</v>
      </c>
      <c r="AR872" s="41">
        <f t="shared" si="856"/>
        <v>0</v>
      </c>
      <c r="AS872" s="41">
        <f t="shared" si="857"/>
        <v>0</v>
      </c>
      <c r="AT872" s="44" t="s">
        <v>2472</v>
      </c>
      <c r="AU872" s="44" t="s">
        <v>2485</v>
      </c>
      <c r="AV872" s="31" t="s">
        <v>2486</v>
      </c>
      <c r="AX872" s="41">
        <f t="shared" si="858"/>
        <v>0</v>
      </c>
      <c r="AY872" s="41">
        <f t="shared" si="859"/>
        <v>0</v>
      </c>
      <c r="AZ872" s="41">
        <v>0</v>
      </c>
      <c r="BA872" s="41">
        <f t="shared" si="860"/>
        <v>0</v>
      </c>
      <c r="BC872" s="21">
        <f t="shared" si="861"/>
        <v>0</v>
      </c>
      <c r="BD872" s="21">
        <f t="shared" si="862"/>
        <v>0</v>
      </c>
      <c r="BE872" s="21">
        <f t="shared" si="863"/>
        <v>0</v>
      </c>
      <c r="BF872" s="21" t="s">
        <v>2492</v>
      </c>
      <c r="BG872" s="41" t="s">
        <v>1439</v>
      </c>
    </row>
    <row r="873" spans="1:59" x14ac:dyDescent="0.3">
      <c r="A873" s="4" t="s">
        <v>831</v>
      </c>
      <c r="B873" s="13"/>
      <c r="C873" s="13" t="s">
        <v>1450</v>
      </c>
      <c r="D873" s="101" t="s">
        <v>2231</v>
      </c>
      <c r="E873" s="102"/>
      <c r="F873" s="13" t="s">
        <v>2384</v>
      </c>
      <c r="G873" s="21">
        <v>13</v>
      </c>
      <c r="H873" s="21">
        <v>0</v>
      </c>
      <c r="I873" s="21">
        <f t="shared" si="838"/>
        <v>0</v>
      </c>
      <c r="J873" s="21">
        <f t="shared" si="839"/>
        <v>0</v>
      </c>
      <c r="K873" s="21">
        <f t="shared" si="840"/>
        <v>0</v>
      </c>
      <c r="L873" s="21">
        <v>0</v>
      </c>
      <c r="M873" s="21">
        <f t="shared" si="841"/>
        <v>0</v>
      </c>
      <c r="N873" s="35"/>
      <c r="O873" s="39"/>
      <c r="U873" s="41">
        <f t="shared" si="842"/>
        <v>0</v>
      </c>
      <c r="W873" s="41">
        <f t="shared" si="843"/>
        <v>0</v>
      </c>
      <c r="X873" s="41">
        <f t="shared" si="844"/>
        <v>0</v>
      </c>
      <c r="Y873" s="41">
        <f t="shared" si="845"/>
        <v>0</v>
      </c>
      <c r="Z873" s="41">
        <f t="shared" si="846"/>
        <v>0</v>
      </c>
      <c r="AA873" s="41">
        <f t="shared" si="847"/>
        <v>0</v>
      </c>
      <c r="AB873" s="41">
        <f t="shared" si="848"/>
        <v>0</v>
      </c>
      <c r="AC873" s="41">
        <f t="shared" si="849"/>
        <v>0</v>
      </c>
      <c r="AD873" s="31"/>
      <c r="AE873" s="21">
        <f t="shared" si="850"/>
        <v>0</v>
      </c>
      <c r="AF873" s="21">
        <f t="shared" si="851"/>
        <v>0</v>
      </c>
      <c r="AG873" s="21">
        <f t="shared" si="852"/>
        <v>0</v>
      </c>
      <c r="AI873" s="41">
        <v>21</v>
      </c>
      <c r="AJ873" s="41">
        <f t="shared" si="853"/>
        <v>0</v>
      </c>
      <c r="AK873" s="41">
        <f t="shared" si="854"/>
        <v>0</v>
      </c>
      <c r="AL873" s="42" t="s">
        <v>8</v>
      </c>
      <c r="AQ873" s="41">
        <f t="shared" si="855"/>
        <v>0</v>
      </c>
      <c r="AR873" s="41">
        <f t="shared" si="856"/>
        <v>0</v>
      </c>
      <c r="AS873" s="41">
        <f t="shared" si="857"/>
        <v>0</v>
      </c>
      <c r="AT873" s="44" t="s">
        <v>2472</v>
      </c>
      <c r="AU873" s="44" t="s">
        <v>2485</v>
      </c>
      <c r="AV873" s="31" t="s">
        <v>2486</v>
      </c>
      <c r="AX873" s="41">
        <f t="shared" si="858"/>
        <v>0</v>
      </c>
      <c r="AY873" s="41">
        <f t="shared" si="859"/>
        <v>0</v>
      </c>
      <c r="AZ873" s="41">
        <v>0</v>
      </c>
      <c r="BA873" s="41">
        <f t="shared" si="860"/>
        <v>0</v>
      </c>
      <c r="BC873" s="21">
        <f t="shared" si="861"/>
        <v>0</v>
      </c>
      <c r="BD873" s="21">
        <f t="shared" si="862"/>
        <v>0</v>
      </c>
      <c r="BE873" s="21">
        <f t="shared" si="863"/>
        <v>0</v>
      </c>
      <c r="BF873" s="21" t="s">
        <v>2492</v>
      </c>
      <c r="BG873" s="41" t="s">
        <v>1439</v>
      </c>
    </row>
    <row r="874" spans="1:59" x14ac:dyDescent="0.3">
      <c r="A874" s="4" t="s">
        <v>832</v>
      </c>
      <c r="B874" s="13"/>
      <c r="C874" s="13" t="s">
        <v>1451</v>
      </c>
      <c r="D874" s="101" t="s">
        <v>2232</v>
      </c>
      <c r="E874" s="102"/>
      <c r="F874" s="13" t="s">
        <v>2384</v>
      </c>
      <c r="G874" s="21">
        <v>8</v>
      </c>
      <c r="H874" s="21">
        <v>0</v>
      </c>
      <c r="I874" s="21">
        <f t="shared" si="838"/>
        <v>0</v>
      </c>
      <c r="J874" s="21">
        <f t="shared" si="839"/>
        <v>0</v>
      </c>
      <c r="K874" s="21">
        <f t="shared" si="840"/>
        <v>0</v>
      </c>
      <c r="L874" s="21">
        <v>0</v>
      </c>
      <c r="M874" s="21">
        <f t="shared" si="841"/>
        <v>0</v>
      </c>
      <c r="N874" s="35"/>
      <c r="O874" s="39"/>
      <c r="U874" s="41">
        <f t="shared" si="842"/>
        <v>0</v>
      </c>
      <c r="W874" s="41">
        <f t="shared" si="843"/>
        <v>0</v>
      </c>
      <c r="X874" s="41">
        <f t="shared" si="844"/>
        <v>0</v>
      </c>
      <c r="Y874" s="41">
        <f t="shared" si="845"/>
        <v>0</v>
      </c>
      <c r="Z874" s="41">
        <f t="shared" si="846"/>
        <v>0</v>
      </c>
      <c r="AA874" s="41">
        <f t="shared" si="847"/>
        <v>0</v>
      </c>
      <c r="AB874" s="41">
        <f t="shared" si="848"/>
        <v>0</v>
      </c>
      <c r="AC874" s="41">
        <f t="shared" si="849"/>
        <v>0</v>
      </c>
      <c r="AD874" s="31"/>
      <c r="AE874" s="21">
        <f t="shared" si="850"/>
        <v>0</v>
      </c>
      <c r="AF874" s="21">
        <f t="shared" si="851"/>
        <v>0</v>
      </c>
      <c r="AG874" s="21">
        <f t="shared" si="852"/>
        <v>0</v>
      </c>
      <c r="AI874" s="41">
        <v>21</v>
      </c>
      <c r="AJ874" s="41">
        <f t="shared" si="853"/>
        <v>0</v>
      </c>
      <c r="AK874" s="41">
        <f t="shared" si="854"/>
        <v>0</v>
      </c>
      <c r="AL874" s="42" t="s">
        <v>8</v>
      </c>
      <c r="AQ874" s="41">
        <f t="shared" si="855"/>
        <v>0</v>
      </c>
      <c r="AR874" s="41">
        <f t="shared" si="856"/>
        <v>0</v>
      </c>
      <c r="AS874" s="41">
        <f t="shared" si="857"/>
        <v>0</v>
      </c>
      <c r="AT874" s="44" t="s">
        <v>2472</v>
      </c>
      <c r="AU874" s="44" t="s">
        <v>2485</v>
      </c>
      <c r="AV874" s="31" t="s">
        <v>2486</v>
      </c>
      <c r="AX874" s="41">
        <f t="shared" si="858"/>
        <v>0</v>
      </c>
      <c r="AY874" s="41">
        <f t="shared" si="859"/>
        <v>0</v>
      </c>
      <c r="AZ874" s="41">
        <v>0</v>
      </c>
      <c r="BA874" s="41">
        <f t="shared" si="860"/>
        <v>0</v>
      </c>
      <c r="BC874" s="21">
        <f t="shared" si="861"/>
        <v>0</v>
      </c>
      <c r="BD874" s="21">
        <f t="shared" si="862"/>
        <v>0</v>
      </c>
      <c r="BE874" s="21">
        <f t="shared" si="863"/>
        <v>0</v>
      </c>
      <c r="BF874" s="21" t="s">
        <v>2492</v>
      </c>
      <c r="BG874" s="41" t="s">
        <v>1439</v>
      </c>
    </row>
    <row r="875" spans="1:59" x14ac:dyDescent="0.3">
      <c r="A875" s="4" t="s">
        <v>833</v>
      </c>
      <c r="B875" s="13"/>
      <c r="C875" s="13" t="s">
        <v>1452</v>
      </c>
      <c r="D875" s="101" t="s">
        <v>2233</v>
      </c>
      <c r="E875" s="102"/>
      <c r="F875" s="13" t="s">
        <v>2384</v>
      </c>
      <c r="G875" s="21">
        <v>20</v>
      </c>
      <c r="H875" s="21">
        <v>0</v>
      </c>
      <c r="I875" s="21">
        <f t="shared" si="838"/>
        <v>0</v>
      </c>
      <c r="J875" s="21">
        <f t="shared" si="839"/>
        <v>0</v>
      </c>
      <c r="K875" s="21">
        <f t="shared" si="840"/>
        <v>0</v>
      </c>
      <c r="L875" s="21">
        <v>0</v>
      </c>
      <c r="M875" s="21">
        <f t="shared" si="841"/>
        <v>0</v>
      </c>
      <c r="N875" s="35"/>
      <c r="O875" s="39"/>
      <c r="U875" s="41">
        <f t="shared" si="842"/>
        <v>0</v>
      </c>
      <c r="W875" s="41">
        <f t="shared" si="843"/>
        <v>0</v>
      </c>
      <c r="X875" s="41">
        <f t="shared" si="844"/>
        <v>0</v>
      </c>
      <c r="Y875" s="41">
        <f t="shared" si="845"/>
        <v>0</v>
      </c>
      <c r="Z875" s="41">
        <f t="shared" si="846"/>
        <v>0</v>
      </c>
      <c r="AA875" s="41">
        <f t="shared" si="847"/>
        <v>0</v>
      </c>
      <c r="AB875" s="41">
        <f t="shared" si="848"/>
        <v>0</v>
      </c>
      <c r="AC875" s="41">
        <f t="shared" si="849"/>
        <v>0</v>
      </c>
      <c r="AD875" s="31"/>
      <c r="AE875" s="21">
        <f t="shared" si="850"/>
        <v>0</v>
      </c>
      <c r="AF875" s="21">
        <f t="shared" si="851"/>
        <v>0</v>
      </c>
      <c r="AG875" s="21">
        <f t="shared" si="852"/>
        <v>0</v>
      </c>
      <c r="AI875" s="41">
        <v>21</v>
      </c>
      <c r="AJ875" s="41">
        <f t="shared" si="853"/>
        <v>0</v>
      </c>
      <c r="AK875" s="41">
        <f t="shared" si="854"/>
        <v>0</v>
      </c>
      <c r="AL875" s="42" t="s">
        <v>8</v>
      </c>
      <c r="AQ875" s="41">
        <f t="shared" si="855"/>
        <v>0</v>
      </c>
      <c r="AR875" s="41">
        <f t="shared" si="856"/>
        <v>0</v>
      </c>
      <c r="AS875" s="41">
        <f t="shared" si="857"/>
        <v>0</v>
      </c>
      <c r="AT875" s="44" t="s">
        <v>2472</v>
      </c>
      <c r="AU875" s="44" t="s">
        <v>2485</v>
      </c>
      <c r="AV875" s="31" t="s">
        <v>2486</v>
      </c>
      <c r="AX875" s="41">
        <f t="shared" si="858"/>
        <v>0</v>
      </c>
      <c r="AY875" s="41">
        <f t="shared" si="859"/>
        <v>0</v>
      </c>
      <c r="AZ875" s="41">
        <v>0</v>
      </c>
      <c r="BA875" s="41">
        <f t="shared" si="860"/>
        <v>0</v>
      </c>
      <c r="BC875" s="21">
        <f t="shared" si="861"/>
        <v>0</v>
      </c>
      <c r="BD875" s="21">
        <f t="shared" si="862"/>
        <v>0</v>
      </c>
      <c r="BE875" s="21">
        <f t="shared" si="863"/>
        <v>0</v>
      </c>
      <c r="BF875" s="21" t="s">
        <v>2492</v>
      </c>
      <c r="BG875" s="41" t="s">
        <v>1439</v>
      </c>
    </row>
    <row r="876" spans="1:59" x14ac:dyDescent="0.3">
      <c r="A876" s="4" t="s">
        <v>834</v>
      </c>
      <c r="B876" s="13"/>
      <c r="C876" s="13" t="s">
        <v>1453</v>
      </c>
      <c r="D876" s="101" t="s">
        <v>2234</v>
      </c>
      <c r="E876" s="102"/>
      <c r="F876" s="13" t="s">
        <v>2384</v>
      </c>
      <c r="G876" s="21">
        <v>11</v>
      </c>
      <c r="H876" s="21">
        <v>0</v>
      </c>
      <c r="I876" s="21">
        <f t="shared" si="838"/>
        <v>0</v>
      </c>
      <c r="J876" s="21">
        <f t="shared" si="839"/>
        <v>0</v>
      </c>
      <c r="K876" s="21">
        <f t="shared" si="840"/>
        <v>0</v>
      </c>
      <c r="L876" s="21">
        <v>0</v>
      </c>
      <c r="M876" s="21">
        <f t="shared" si="841"/>
        <v>0</v>
      </c>
      <c r="N876" s="35"/>
      <c r="O876" s="39"/>
      <c r="U876" s="41">
        <f t="shared" si="842"/>
        <v>0</v>
      </c>
      <c r="W876" s="41">
        <f t="shared" si="843"/>
        <v>0</v>
      </c>
      <c r="X876" s="41">
        <f t="shared" si="844"/>
        <v>0</v>
      </c>
      <c r="Y876" s="41">
        <f t="shared" si="845"/>
        <v>0</v>
      </c>
      <c r="Z876" s="41">
        <f t="shared" si="846"/>
        <v>0</v>
      </c>
      <c r="AA876" s="41">
        <f t="shared" si="847"/>
        <v>0</v>
      </c>
      <c r="AB876" s="41">
        <f t="shared" si="848"/>
        <v>0</v>
      </c>
      <c r="AC876" s="41">
        <f t="shared" si="849"/>
        <v>0</v>
      </c>
      <c r="AD876" s="31"/>
      <c r="AE876" s="21">
        <f t="shared" si="850"/>
        <v>0</v>
      </c>
      <c r="AF876" s="21">
        <f t="shared" si="851"/>
        <v>0</v>
      </c>
      <c r="AG876" s="21">
        <f t="shared" si="852"/>
        <v>0</v>
      </c>
      <c r="AI876" s="41">
        <v>21</v>
      </c>
      <c r="AJ876" s="41">
        <f t="shared" si="853"/>
        <v>0</v>
      </c>
      <c r="AK876" s="41">
        <f t="shared" si="854"/>
        <v>0</v>
      </c>
      <c r="AL876" s="42" t="s">
        <v>8</v>
      </c>
      <c r="AQ876" s="41">
        <f t="shared" si="855"/>
        <v>0</v>
      </c>
      <c r="AR876" s="41">
        <f t="shared" si="856"/>
        <v>0</v>
      </c>
      <c r="AS876" s="41">
        <f t="shared" si="857"/>
        <v>0</v>
      </c>
      <c r="AT876" s="44" t="s">
        <v>2472</v>
      </c>
      <c r="AU876" s="44" t="s">
        <v>2485</v>
      </c>
      <c r="AV876" s="31" t="s">
        <v>2486</v>
      </c>
      <c r="AX876" s="41">
        <f t="shared" si="858"/>
        <v>0</v>
      </c>
      <c r="AY876" s="41">
        <f t="shared" si="859"/>
        <v>0</v>
      </c>
      <c r="AZ876" s="41">
        <v>0</v>
      </c>
      <c r="BA876" s="41">
        <f t="shared" si="860"/>
        <v>0</v>
      </c>
      <c r="BC876" s="21">
        <f t="shared" si="861"/>
        <v>0</v>
      </c>
      <c r="BD876" s="21">
        <f t="shared" si="862"/>
        <v>0</v>
      </c>
      <c r="BE876" s="21">
        <f t="shared" si="863"/>
        <v>0</v>
      </c>
      <c r="BF876" s="21" t="s">
        <v>2492</v>
      </c>
      <c r="BG876" s="41" t="s">
        <v>1439</v>
      </c>
    </row>
    <row r="877" spans="1:59" x14ac:dyDescent="0.3">
      <c r="A877" s="4" t="s">
        <v>835</v>
      </c>
      <c r="B877" s="13"/>
      <c r="C877" s="13" t="s">
        <v>1454</v>
      </c>
      <c r="D877" s="101" t="s">
        <v>2235</v>
      </c>
      <c r="E877" s="102"/>
      <c r="F877" s="13" t="s">
        <v>2384</v>
      </c>
      <c r="G877" s="21">
        <v>28</v>
      </c>
      <c r="H877" s="21">
        <v>0</v>
      </c>
      <c r="I877" s="21">
        <f t="shared" si="838"/>
        <v>0</v>
      </c>
      <c r="J877" s="21">
        <f t="shared" si="839"/>
        <v>0</v>
      </c>
      <c r="K877" s="21">
        <f t="shared" si="840"/>
        <v>0</v>
      </c>
      <c r="L877" s="21">
        <v>0</v>
      </c>
      <c r="M877" s="21">
        <f t="shared" si="841"/>
        <v>0</v>
      </c>
      <c r="N877" s="35"/>
      <c r="O877" s="39"/>
      <c r="U877" s="41">
        <f t="shared" si="842"/>
        <v>0</v>
      </c>
      <c r="W877" s="41">
        <f t="shared" si="843"/>
        <v>0</v>
      </c>
      <c r="X877" s="41">
        <f t="shared" si="844"/>
        <v>0</v>
      </c>
      <c r="Y877" s="41">
        <f t="shared" si="845"/>
        <v>0</v>
      </c>
      <c r="Z877" s="41">
        <f t="shared" si="846"/>
        <v>0</v>
      </c>
      <c r="AA877" s="41">
        <f t="shared" si="847"/>
        <v>0</v>
      </c>
      <c r="AB877" s="41">
        <f t="shared" si="848"/>
        <v>0</v>
      </c>
      <c r="AC877" s="41">
        <f t="shared" si="849"/>
        <v>0</v>
      </c>
      <c r="AD877" s="31"/>
      <c r="AE877" s="21">
        <f t="shared" si="850"/>
        <v>0</v>
      </c>
      <c r="AF877" s="21">
        <f t="shared" si="851"/>
        <v>0</v>
      </c>
      <c r="AG877" s="21">
        <f t="shared" si="852"/>
        <v>0</v>
      </c>
      <c r="AI877" s="41">
        <v>21</v>
      </c>
      <c r="AJ877" s="41">
        <f t="shared" si="853"/>
        <v>0</v>
      </c>
      <c r="AK877" s="41">
        <f t="shared" si="854"/>
        <v>0</v>
      </c>
      <c r="AL877" s="42" t="s">
        <v>8</v>
      </c>
      <c r="AQ877" s="41">
        <f t="shared" si="855"/>
        <v>0</v>
      </c>
      <c r="AR877" s="41">
        <f t="shared" si="856"/>
        <v>0</v>
      </c>
      <c r="AS877" s="41">
        <f t="shared" si="857"/>
        <v>0</v>
      </c>
      <c r="AT877" s="44" t="s">
        <v>2472</v>
      </c>
      <c r="AU877" s="44" t="s">
        <v>2485</v>
      </c>
      <c r="AV877" s="31" t="s">
        <v>2486</v>
      </c>
      <c r="AX877" s="41">
        <f t="shared" si="858"/>
        <v>0</v>
      </c>
      <c r="AY877" s="41">
        <f t="shared" si="859"/>
        <v>0</v>
      </c>
      <c r="AZ877" s="41">
        <v>0</v>
      </c>
      <c r="BA877" s="41">
        <f t="shared" si="860"/>
        <v>0</v>
      </c>
      <c r="BC877" s="21">
        <f t="shared" si="861"/>
        <v>0</v>
      </c>
      <c r="BD877" s="21">
        <f t="shared" si="862"/>
        <v>0</v>
      </c>
      <c r="BE877" s="21">
        <f t="shared" si="863"/>
        <v>0</v>
      </c>
      <c r="BF877" s="21" t="s">
        <v>2492</v>
      </c>
      <c r="BG877" s="41" t="s">
        <v>1439</v>
      </c>
    </row>
    <row r="878" spans="1:59" x14ac:dyDescent="0.3">
      <c r="A878" s="4" t="s">
        <v>836</v>
      </c>
      <c r="B878" s="13"/>
      <c r="C878" s="13" t="s">
        <v>1455</v>
      </c>
      <c r="D878" s="101" t="s">
        <v>2236</v>
      </c>
      <c r="E878" s="102"/>
      <c r="F878" s="13" t="s">
        <v>2384</v>
      </c>
      <c r="G878" s="21">
        <v>155</v>
      </c>
      <c r="H878" s="21">
        <v>0</v>
      </c>
      <c r="I878" s="21">
        <f t="shared" si="838"/>
        <v>0</v>
      </c>
      <c r="J878" s="21">
        <f t="shared" si="839"/>
        <v>0</v>
      </c>
      <c r="K878" s="21">
        <f t="shared" si="840"/>
        <v>0</v>
      </c>
      <c r="L878" s="21">
        <v>0</v>
      </c>
      <c r="M878" s="21">
        <f t="shared" si="841"/>
        <v>0</v>
      </c>
      <c r="N878" s="35"/>
      <c r="O878" s="39"/>
      <c r="U878" s="41">
        <f t="shared" si="842"/>
        <v>0</v>
      </c>
      <c r="W878" s="41">
        <f t="shared" si="843"/>
        <v>0</v>
      </c>
      <c r="X878" s="41">
        <f t="shared" si="844"/>
        <v>0</v>
      </c>
      <c r="Y878" s="41">
        <f t="shared" si="845"/>
        <v>0</v>
      </c>
      <c r="Z878" s="41">
        <f t="shared" si="846"/>
        <v>0</v>
      </c>
      <c r="AA878" s="41">
        <f t="shared" si="847"/>
        <v>0</v>
      </c>
      <c r="AB878" s="41">
        <f t="shared" si="848"/>
        <v>0</v>
      </c>
      <c r="AC878" s="41">
        <f t="shared" si="849"/>
        <v>0</v>
      </c>
      <c r="AD878" s="31"/>
      <c r="AE878" s="21">
        <f t="shared" si="850"/>
        <v>0</v>
      </c>
      <c r="AF878" s="21">
        <f t="shared" si="851"/>
        <v>0</v>
      </c>
      <c r="AG878" s="21">
        <f t="shared" si="852"/>
        <v>0</v>
      </c>
      <c r="AI878" s="41">
        <v>21</v>
      </c>
      <c r="AJ878" s="41">
        <f t="shared" si="853"/>
        <v>0</v>
      </c>
      <c r="AK878" s="41">
        <f t="shared" si="854"/>
        <v>0</v>
      </c>
      <c r="AL878" s="42" t="s">
        <v>8</v>
      </c>
      <c r="AQ878" s="41">
        <f t="shared" si="855"/>
        <v>0</v>
      </c>
      <c r="AR878" s="41">
        <f t="shared" si="856"/>
        <v>0</v>
      </c>
      <c r="AS878" s="41">
        <f t="shared" si="857"/>
        <v>0</v>
      </c>
      <c r="AT878" s="44" t="s">
        <v>2472</v>
      </c>
      <c r="AU878" s="44" t="s">
        <v>2485</v>
      </c>
      <c r="AV878" s="31" t="s">
        <v>2486</v>
      </c>
      <c r="AX878" s="41">
        <f t="shared" si="858"/>
        <v>0</v>
      </c>
      <c r="AY878" s="41">
        <f t="shared" si="859"/>
        <v>0</v>
      </c>
      <c r="AZ878" s="41">
        <v>0</v>
      </c>
      <c r="BA878" s="41">
        <f t="shared" si="860"/>
        <v>0</v>
      </c>
      <c r="BC878" s="21">
        <f t="shared" si="861"/>
        <v>0</v>
      </c>
      <c r="BD878" s="21">
        <f t="shared" si="862"/>
        <v>0</v>
      </c>
      <c r="BE878" s="21">
        <f t="shared" si="863"/>
        <v>0</v>
      </c>
      <c r="BF878" s="21" t="s">
        <v>2492</v>
      </c>
      <c r="BG878" s="41" t="s">
        <v>1439</v>
      </c>
    </row>
    <row r="879" spans="1:59" x14ac:dyDescent="0.3">
      <c r="A879" s="4" t="s">
        <v>837</v>
      </c>
      <c r="B879" s="13"/>
      <c r="C879" s="13" t="s">
        <v>1456</v>
      </c>
      <c r="D879" s="101" t="s">
        <v>2237</v>
      </c>
      <c r="E879" s="102"/>
      <c r="F879" s="13" t="s">
        <v>2384</v>
      </c>
      <c r="G879" s="21">
        <v>9</v>
      </c>
      <c r="H879" s="21">
        <v>0</v>
      </c>
      <c r="I879" s="21">
        <f t="shared" si="838"/>
        <v>0</v>
      </c>
      <c r="J879" s="21">
        <f t="shared" si="839"/>
        <v>0</v>
      </c>
      <c r="K879" s="21">
        <f t="shared" si="840"/>
        <v>0</v>
      </c>
      <c r="L879" s="21">
        <v>0</v>
      </c>
      <c r="M879" s="21">
        <f t="shared" si="841"/>
        <v>0</v>
      </c>
      <c r="N879" s="35"/>
      <c r="O879" s="39"/>
      <c r="U879" s="41">
        <f t="shared" si="842"/>
        <v>0</v>
      </c>
      <c r="W879" s="41">
        <f t="shared" si="843"/>
        <v>0</v>
      </c>
      <c r="X879" s="41">
        <f t="shared" si="844"/>
        <v>0</v>
      </c>
      <c r="Y879" s="41">
        <f t="shared" si="845"/>
        <v>0</v>
      </c>
      <c r="Z879" s="41">
        <f t="shared" si="846"/>
        <v>0</v>
      </c>
      <c r="AA879" s="41">
        <f t="shared" si="847"/>
        <v>0</v>
      </c>
      <c r="AB879" s="41">
        <f t="shared" si="848"/>
        <v>0</v>
      </c>
      <c r="AC879" s="41">
        <f t="shared" si="849"/>
        <v>0</v>
      </c>
      <c r="AD879" s="31"/>
      <c r="AE879" s="21">
        <f t="shared" si="850"/>
        <v>0</v>
      </c>
      <c r="AF879" s="21">
        <f t="shared" si="851"/>
        <v>0</v>
      </c>
      <c r="AG879" s="21">
        <f t="shared" si="852"/>
        <v>0</v>
      </c>
      <c r="AI879" s="41">
        <v>21</v>
      </c>
      <c r="AJ879" s="41">
        <f t="shared" si="853"/>
        <v>0</v>
      </c>
      <c r="AK879" s="41">
        <f t="shared" si="854"/>
        <v>0</v>
      </c>
      <c r="AL879" s="42" t="s">
        <v>8</v>
      </c>
      <c r="AQ879" s="41">
        <f t="shared" si="855"/>
        <v>0</v>
      </c>
      <c r="AR879" s="41">
        <f t="shared" si="856"/>
        <v>0</v>
      </c>
      <c r="AS879" s="41">
        <f t="shared" si="857"/>
        <v>0</v>
      </c>
      <c r="AT879" s="44" t="s">
        <v>2472</v>
      </c>
      <c r="AU879" s="44" t="s">
        <v>2485</v>
      </c>
      <c r="AV879" s="31" t="s">
        <v>2486</v>
      </c>
      <c r="AX879" s="41">
        <f t="shared" si="858"/>
        <v>0</v>
      </c>
      <c r="AY879" s="41">
        <f t="shared" si="859"/>
        <v>0</v>
      </c>
      <c r="AZ879" s="41">
        <v>0</v>
      </c>
      <c r="BA879" s="41">
        <f t="shared" si="860"/>
        <v>0</v>
      </c>
      <c r="BC879" s="21">
        <f t="shared" si="861"/>
        <v>0</v>
      </c>
      <c r="BD879" s="21">
        <f t="shared" si="862"/>
        <v>0</v>
      </c>
      <c r="BE879" s="21">
        <f t="shared" si="863"/>
        <v>0</v>
      </c>
      <c r="BF879" s="21" t="s">
        <v>2492</v>
      </c>
      <c r="BG879" s="41" t="s">
        <v>1439</v>
      </c>
    </row>
    <row r="880" spans="1:59" x14ac:dyDescent="0.3">
      <c r="A880" s="4" t="s">
        <v>838</v>
      </c>
      <c r="B880" s="13"/>
      <c r="C880" s="13" t="s">
        <v>1457</v>
      </c>
      <c r="D880" s="101" t="s">
        <v>2238</v>
      </c>
      <c r="E880" s="102"/>
      <c r="F880" s="13" t="s">
        <v>2384</v>
      </c>
      <c r="G880" s="21">
        <v>1</v>
      </c>
      <c r="H880" s="21">
        <v>0</v>
      </c>
      <c r="I880" s="21">
        <f t="shared" si="838"/>
        <v>0</v>
      </c>
      <c r="J880" s="21">
        <f t="shared" si="839"/>
        <v>0</v>
      </c>
      <c r="K880" s="21">
        <f t="shared" si="840"/>
        <v>0</v>
      </c>
      <c r="L880" s="21">
        <v>0</v>
      </c>
      <c r="M880" s="21">
        <f t="shared" si="841"/>
        <v>0</v>
      </c>
      <c r="N880" s="35"/>
      <c r="O880" s="39"/>
      <c r="U880" s="41">
        <f t="shared" si="842"/>
        <v>0</v>
      </c>
      <c r="W880" s="41">
        <f t="shared" si="843"/>
        <v>0</v>
      </c>
      <c r="X880" s="41">
        <f t="shared" si="844"/>
        <v>0</v>
      </c>
      <c r="Y880" s="41">
        <f t="shared" si="845"/>
        <v>0</v>
      </c>
      <c r="Z880" s="41">
        <f t="shared" si="846"/>
        <v>0</v>
      </c>
      <c r="AA880" s="41">
        <f t="shared" si="847"/>
        <v>0</v>
      </c>
      <c r="AB880" s="41">
        <f t="shared" si="848"/>
        <v>0</v>
      </c>
      <c r="AC880" s="41">
        <f t="shared" si="849"/>
        <v>0</v>
      </c>
      <c r="AD880" s="31"/>
      <c r="AE880" s="21">
        <f t="shared" si="850"/>
        <v>0</v>
      </c>
      <c r="AF880" s="21">
        <f t="shared" si="851"/>
        <v>0</v>
      </c>
      <c r="AG880" s="21">
        <f t="shared" si="852"/>
        <v>0</v>
      </c>
      <c r="AI880" s="41">
        <v>21</v>
      </c>
      <c r="AJ880" s="41">
        <f t="shared" si="853"/>
        <v>0</v>
      </c>
      <c r="AK880" s="41">
        <f t="shared" si="854"/>
        <v>0</v>
      </c>
      <c r="AL880" s="42" t="s">
        <v>8</v>
      </c>
      <c r="AQ880" s="41">
        <f t="shared" si="855"/>
        <v>0</v>
      </c>
      <c r="AR880" s="41">
        <f t="shared" si="856"/>
        <v>0</v>
      </c>
      <c r="AS880" s="41">
        <f t="shared" si="857"/>
        <v>0</v>
      </c>
      <c r="AT880" s="44" t="s">
        <v>2472</v>
      </c>
      <c r="AU880" s="44" t="s">
        <v>2485</v>
      </c>
      <c r="AV880" s="31" t="s">
        <v>2486</v>
      </c>
      <c r="AX880" s="41">
        <f t="shared" si="858"/>
        <v>0</v>
      </c>
      <c r="AY880" s="41">
        <f t="shared" si="859"/>
        <v>0</v>
      </c>
      <c r="AZ880" s="41">
        <v>0</v>
      </c>
      <c r="BA880" s="41">
        <f t="shared" si="860"/>
        <v>0</v>
      </c>
      <c r="BC880" s="21">
        <f t="shared" si="861"/>
        <v>0</v>
      </c>
      <c r="BD880" s="21">
        <f t="shared" si="862"/>
        <v>0</v>
      </c>
      <c r="BE880" s="21">
        <f t="shared" si="863"/>
        <v>0</v>
      </c>
      <c r="BF880" s="21" t="s">
        <v>2492</v>
      </c>
      <c r="BG880" s="41" t="s">
        <v>1439</v>
      </c>
    </row>
    <row r="881" spans="1:59" x14ac:dyDescent="0.3">
      <c r="A881" s="4" t="s">
        <v>839</v>
      </c>
      <c r="B881" s="13"/>
      <c r="C881" s="13" t="s">
        <v>1458</v>
      </c>
      <c r="D881" s="101" t="s">
        <v>2239</v>
      </c>
      <c r="E881" s="102"/>
      <c r="F881" s="13" t="s">
        <v>2384</v>
      </c>
      <c r="G881" s="21">
        <v>8</v>
      </c>
      <c r="H881" s="21">
        <v>0</v>
      </c>
      <c r="I881" s="21">
        <f t="shared" si="838"/>
        <v>0</v>
      </c>
      <c r="J881" s="21">
        <f t="shared" si="839"/>
        <v>0</v>
      </c>
      <c r="K881" s="21">
        <f t="shared" si="840"/>
        <v>0</v>
      </c>
      <c r="L881" s="21">
        <v>0</v>
      </c>
      <c r="M881" s="21">
        <f t="shared" si="841"/>
        <v>0</v>
      </c>
      <c r="N881" s="35"/>
      <c r="O881" s="39"/>
      <c r="U881" s="41">
        <f t="shared" si="842"/>
        <v>0</v>
      </c>
      <c r="W881" s="41">
        <f t="shared" si="843"/>
        <v>0</v>
      </c>
      <c r="X881" s="41">
        <f t="shared" si="844"/>
        <v>0</v>
      </c>
      <c r="Y881" s="41">
        <f t="shared" si="845"/>
        <v>0</v>
      </c>
      <c r="Z881" s="41">
        <f t="shared" si="846"/>
        <v>0</v>
      </c>
      <c r="AA881" s="41">
        <f t="shared" si="847"/>
        <v>0</v>
      </c>
      <c r="AB881" s="41">
        <f t="shared" si="848"/>
        <v>0</v>
      </c>
      <c r="AC881" s="41">
        <f t="shared" si="849"/>
        <v>0</v>
      </c>
      <c r="AD881" s="31"/>
      <c r="AE881" s="21">
        <f t="shared" si="850"/>
        <v>0</v>
      </c>
      <c r="AF881" s="21">
        <f t="shared" si="851"/>
        <v>0</v>
      </c>
      <c r="AG881" s="21">
        <f t="shared" si="852"/>
        <v>0</v>
      </c>
      <c r="AI881" s="41">
        <v>21</v>
      </c>
      <c r="AJ881" s="41">
        <f t="shared" si="853"/>
        <v>0</v>
      </c>
      <c r="AK881" s="41">
        <f t="shared" si="854"/>
        <v>0</v>
      </c>
      <c r="AL881" s="42" t="s">
        <v>8</v>
      </c>
      <c r="AQ881" s="41">
        <f t="shared" si="855"/>
        <v>0</v>
      </c>
      <c r="AR881" s="41">
        <f t="shared" si="856"/>
        <v>0</v>
      </c>
      <c r="AS881" s="41">
        <f t="shared" si="857"/>
        <v>0</v>
      </c>
      <c r="AT881" s="44" t="s">
        <v>2472</v>
      </c>
      <c r="AU881" s="44" t="s">
        <v>2485</v>
      </c>
      <c r="AV881" s="31" t="s">
        <v>2486</v>
      </c>
      <c r="AX881" s="41">
        <f t="shared" si="858"/>
        <v>0</v>
      </c>
      <c r="AY881" s="41">
        <f t="shared" si="859"/>
        <v>0</v>
      </c>
      <c r="AZ881" s="41">
        <v>0</v>
      </c>
      <c r="BA881" s="41">
        <f t="shared" si="860"/>
        <v>0</v>
      </c>
      <c r="BC881" s="21">
        <f t="shared" si="861"/>
        <v>0</v>
      </c>
      <c r="BD881" s="21">
        <f t="shared" si="862"/>
        <v>0</v>
      </c>
      <c r="BE881" s="21">
        <f t="shared" si="863"/>
        <v>0</v>
      </c>
      <c r="BF881" s="21" t="s">
        <v>2492</v>
      </c>
      <c r="BG881" s="41" t="s">
        <v>1439</v>
      </c>
    </row>
    <row r="882" spans="1:59" x14ac:dyDescent="0.3">
      <c r="A882" s="4" t="s">
        <v>840</v>
      </c>
      <c r="B882" s="13"/>
      <c r="C882" s="13" t="s">
        <v>1459</v>
      </c>
      <c r="D882" s="101" t="s">
        <v>2240</v>
      </c>
      <c r="E882" s="102"/>
      <c r="F882" s="13" t="s">
        <v>2386</v>
      </c>
      <c r="G882" s="21">
        <v>1</v>
      </c>
      <c r="H882" s="21">
        <v>0</v>
      </c>
      <c r="I882" s="21">
        <f t="shared" si="838"/>
        <v>0</v>
      </c>
      <c r="J882" s="21">
        <f t="shared" si="839"/>
        <v>0</v>
      </c>
      <c r="K882" s="21">
        <f t="shared" si="840"/>
        <v>0</v>
      </c>
      <c r="L882" s="21">
        <v>0</v>
      </c>
      <c r="M882" s="21">
        <f t="shared" si="841"/>
        <v>0</v>
      </c>
      <c r="N882" s="35"/>
      <c r="O882" s="39"/>
      <c r="U882" s="41">
        <f t="shared" si="842"/>
        <v>0</v>
      </c>
      <c r="W882" s="41">
        <f t="shared" si="843"/>
        <v>0</v>
      </c>
      <c r="X882" s="41">
        <f t="shared" si="844"/>
        <v>0</v>
      </c>
      <c r="Y882" s="41">
        <f t="shared" si="845"/>
        <v>0</v>
      </c>
      <c r="Z882" s="41">
        <f t="shared" si="846"/>
        <v>0</v>
      </c>
      <c r="AA882" s="41">
        <f t="shared" si="847"/>
        <v>0</v>
      </c>
      <c r="AB882" s="41">
        <f t="shared" si="848"/>
        <v>0</v>
      </c>
      <c r="AC882" s="41">
        <f t="shared" si="849"/>
        <v>0</v>
      </c>
      <c r="AD882" s="31"/>
      <c r="AE882" s="21">
        <f t="shared" si="850"/>
        <v>0</v>
      </c>
      <c r="AF882" s="21">
        <f t="shared" si="851"/>
        <v>0</v>
      </c>
      <c r="AG882" s="21">
        <f t="shared" si="852"/>
        <v>0</v>
      </c>
      <c r="AI882" s="41">
        <v>21</v>
      </c>
      <c r="AJ882" s="41">
        <f t="shared" si="853"/>
        <v>0</v>
      </c>
      <c r="AK882" s="41">
        <f t="shared" si="854"/>
        <v>0</v>
      </c>
      <c r="AL882" s="42" t="s">
        <v>8</v>
      </c>
      <c r="AQ882" s="41">
        <f t="shared" si="855"/>
        <v>0</v>
      </c>
      <c r="AR882" s="41">
        <f t="shared" si="856"/>
        <v>0</v>
      </c>
      <c r="AS882" s="41">
        <f t="shared" si="857"/>
        <v>0</v>
      </c>
      <c r="AT882" s="44" t="s">
        <v>2472</v>
      </c>
      <c r="AU882" s="44" t="s">
        <v>2485</v>
      </c>
      <c r="AV882" s="31" t="s">
        <v>2486</v>
      </c>
      <c r="AX882" s="41">
        <f t="shared" si="858"/>
        <v>0</v>
      </c>
      <c r="AY882" s="41">
        <f t="shared" si="859"/>
        <v>0</v>
      </c>
      <c r="AZ882" s="41">
        <v>0</v>
      </c>
      <c r="BA882" s="41">
        <f t="shared" si="860"/>
        <v>0</v>
      </c>
      <c r="BC882" s="21">
        <f t="shared" si="861"/>
        <v>0</v>
      </c>
      <c r="BD882" s="21">
        <f t="shared" si="862"/>
        <v>0</v>
      </c>
      <c r="BE882" s="21">
        <f t="shared" si="863"/>
        <v>0</v>
      </c>
      <c r="BF882" s="21" t="s">
        <v>2492</v>
      </c>
      <c r="BG882" s="41" t="s">
        <v>1439</v>
      </c>
    </row>
    <row r="883" spans="1:59" x14ac:dyDescent="0.3">
      <c r="A883" s="4" t="s">
        <v>841</v>
      </c>
      <c r="B883" s="13"/>
      <c r="C883" s="13" t="s">
        <v>1460</v>
      </c>
      <c r="D883" s="101" t="s">
        <v>2241</v>
      </c>
      <c r="E883" s="102"/>
      <c r="F883" s="13" t="s">
        <v>2386</v>
      </c>
      <c r="G883" s="21">
        <v>1</v>
      </c>
      <c r="H883" s="21">
        <v>0</v>
      </c>
      <c r="I883" s="21">
        <f t="shared" si="838"/>
        <v>0</v>
      </c>
      <c r="J883" s="21">
        <f t="shared" si="839"/>
        <v>0</v>
      </c>
      <c r="K883" s="21">
        <f t="shared" si="840"/>
        <v>0</v>
      </c>
      <c r="L883" s="21">
        <v>0</v>
      </c>
      <c r="M883" s="21">
        <f t="shared" si="841"/>
        <v>0</v>
      </c>
      <c r="N883" s="35"/>
      <c r="O883" s="39"/>
      <c r="U883" s="41">
        <f t="shared" si="842"/>
        <v>0</v>
      </c>
      <c r="W883" s="41">
        <f t="shared" si="843"/>
        <v>0</v>
      </c>
      <c r="X883" s="41">
        <f t="shared" si="844"/>
        <v>0</v>
      </c>
      <c r="Y883" s="41">
        <f t="shared" si="845"/>
        <v>0</v>
      </c>
      <c r="Z883" s="41">
        <f t="shared" si="846"/>
        <v>0</v>
      </c>
      <c r="AA883" s="41">
        <f t="shared" si="847"/>
        <v>0</v>
      </c>
      <c r="AB883" s="41">
        <f t="shared" si="848"/>
        <v>0</v>
      </c>
      <c r="AC883" s="41">
        <f t="shared" si="849"/>
        <v>0</v>
      </c>
      <c r="AD883" s="31"/>
      <c r="AE883" s="21">
        <f t="shared" si="850"/>
        <v>0</v>
      </c>
      <c r="AF883" s="21">
        <f t="shared" si="851"/>
        <v>0</v>
      </c>
      <c r="AG883" s="21">
        <f t="shared" si="852"/>
        <v>0</v>
      </c>
      <c r="AI883" s="41">
        <v>21</v>
      </c>
      <c r="AJ883" s="41">
        <f t="shared" si="853"/>
        <v>0</v>
      </c>
      <c r="AK883" s="41">
        <f t="shared" si="854"/>
        <v>0</v>
      </c>
      <c r="AL883" s="42" t="s">
        <v>8</v>
      </c>
      <c r="AQ883" s="41">
        <f t="shared" si="855"/>
        <v>0</v>
      </c>
      <c r="AR883" s="41">
        <f t="shared" si="856"/>
        <v>0</v>
      </c>
      <c r="AS883" s="41">
        <f t="shared" si="857"/>
        <v>0</v>
      </c>
      <c r="AT883" s="44" t="s">
        <v>2472</v>
      </c>
      <c r="AU883" s="44" t="s">
        <v>2485</v>
      </c>
      <c r="AV883" s="31" t="s">
        <v>2486</v>
      </c>
      <c r="AX883" s="41">
        <f t="shared" si="858"/>
        <v>0</v>
      </c>
      <c r="AY883" s="41">
        <f t="shared" si="859"/>
        <v>0</v>
      </c>
      <c r="AZ883" s="41">
        <v>0</v>
      </c>
      <c r="BA883" s="41">
        <f t="shared" si="860"/>
        <v>0</v>
      </c>
      <c r="BC883" s="21">
        <f t="shared" si="861"/>
        <v>0</v>
      </c>
      <c r="BD883" s="21">
        <f t="shared" si="862"/>
        <v>0</v>
      </c>
      <c r="BE883" s="21">
        <f t="shared" si="863"/>
        <v>0</v>
      </c>
      <c r="BF883" s="21" t="s">
        <v>2492</v>
      </c>
      <c r="BG883" s="41" t="s">
        <v>1439</v>
      </c>
    </row>
    <row r="884" spans="1:59" x14ac:dyDescent="0.3">
      <c r="A884" s="4" t="s">
        <v>842</v>
      </c>
      <c r="B884" s="13"/>
      <c r="C884" s="13" t="s">
        <v>1461</v>
      </c>
      <c r="D884" s="101" t="s">
        <v>2242</v>
      </c>
      <c r="E884" s="102"/>
      <c r="F884" s="13" t="s">
        <v>2386</v>
      </c>
      <c r="G884" s="21">
        <v>1</v>
      </c>
      <c r="H884" s="21">
        <v>0</v>
      </c>
      <c r="I884" s="21">
        <f t="shared" si="838"/>
        <v>0</v>
      </c>
      <c r="J884" s="21">
        <f t="shared" si="839"/>
        <v>0</v>
      </c>
      <c r="K884" s="21">
        <f t="shared" si="840"/>
        <v>0</v>
      </c>
      <c r="L884" s="21">
        <v>0</v>
      </c>
      <c r="M884" s="21">
        <f t="shared" si="841"/>
        <v>0</v>
      </c>
      <c r="N884" s="35"/>
      <c r="O884" s="39"/>
      <c r="U884" s="41">
        <f t="shared" si="842"/>
        <v>0</v>
      </c>
      <c r="W884" s="41">
        <f t="shared" si="843"/>
        <v>0</v>
      </c>
      <c r="X884" s="41">
        <f t="shared" si="844"/>
        <v>0</v>
      </c>
      <c r="Y884" s="41">
        <f t="shared" si="845"/>
        <v>0</v>
      </c>
      <c r="Z884" s="41">
        <f t="shared" si="846"/>
        <v>0</v>
      </c>
      <c r="AA884" s="41">
        <f t="shared" si="847"/>
        <v>0</v>
      </c>
      <c r="AB884" s="41">
        <f t="shared" si="848"/>
        <v>0</v>
      </c>
      <c r="AC884" s="41">
        <f t="shared" si="849"/>
        <v>0</v>
      </c>
      <c r="AD884" s="31"/>
      <c r="AE884" s="21">
        <f t="shared" si="850"/>
        <v>0</v>
      </c>
      <c r="AF884" s="21">
        <f t="shared" si="851"/>
        <v>0</v>
      </c>
      <c r="AG884" s="21">
        <f t="shared" si="852"/>
        <v>0</v>
      </c>
      <c r="AI884" s="41">
        <v>21</v>
      </c>
      <c r="AJ884" s="41">
        <f t="shared" si="853"/>
        <v>0</v>
      </c>
      <c r="AK884" s="41">
        <f t="shared" si="854"/>
        <v>0</v>
      </c>
      <c r="AL884" s="42" t="s">
        <v>8</v>
      </c>
      <c r="AQ884" s="41">
        <f t="shared" si="855"/>
        <v>0</v>
      </c>
      <c r="AR884" s="41">
        <f t="shared" si="856"/>
        <v>0</v>
      </c>
      <c r="AS884" s="41">
        <f t="shared" si="857"/>
        <v>0</v>
      </c>
      <c r="AT884" s="44" t="s">
        <v>2472</v>
      </c>
      <c r="AU884" s="44" t="s">
        <v>2485</v>
      </c>
      <c r="AV884" s="31" t="s">
        <v>2486</v>
      </c>
      <c r="AX884" s="41">
        <f t="shared" si="858"/>
        <v>0</v>
      </c>
      <c r="AY884" s="41">
        <f t="shared" si="859"/>
        <v>0</v>
      </c>
      <c r="AZ884" s="41">
        <v>0</v>
      </c>
      <c r="BA884" s="41">
        <f t="shared" si="860"/>
        <v>0</v>
      </c>
      <c r="BC884" s="21">
        <f t="shared" si="861"/>
        <v>0</v>
      </c>
      <c r="BD884" s="21">
        <f t="shared" si="862"/>
        <v>0</v>
      </c>
      <c r="BE884" s="21">
        <f t="shared" si="863"/>
        <v>0</v>
      </c>
      <c r="BF884" s="21" t="s">
        <v>2492</v>
      </c>
      <c r="BG884" s="41" t="s">
        <v>1439</v>
      </c>
    </row>
    <row r="885" spans="1:59" x14ac:dyDescent="0.3">
      <c r="A885" s="4" t="s">
        <v>843</v>
      </c>
      <c r="B885" s="13"/>
      <c r="C885" s="13" t="s">
        <v>1462</v>
      </c>
      <c r="D885" s="101" t="s">
        <v>2243</v>
      </c>
      <c r="E885" s="102"/>
      <c r="F885" s="13" t="s">
        <v>2385</v>
      </c>
      <c r="G885" s="21">
        <v>8808</v>
      </c>
      <c r="H885" s="21">
        <v>0</v>
      </c>
      <c r="I885" s="21">
        <f t="shared" si="838"/>
        <v>0</v>
      </c>
      <c r="J885" s="21">
        <f t="shared" si="839"/>
        <v>0</v>
      </c>
      <c r="K885" s="21">
        <f t="shared" si="840"/>
        <v>0</v>
      </c>
      <c r="L885" s="21">
        <v>0</v>
      </c>
      <c r="M885" s="21">
        <f t="shared" si="841"/>
        <v>0</v>
      </c>
      <c r="N885" s="35"/>
      <c r="O885" s="39"/>
      <c r="U885" s="41">
        <f t="shared" si="842"/>
        <v>0</v>
      </c>
      <c r="W885" s="41">
        <f t="shared" si="843"/>
        <v>0</v>
      </c>
      <c r="X885" s="41">
        <f t="shared" si="844"/>
        <v>0</v>
      </c>
      <c r="Y885" s="41">
        <f t="shared" si="845"/>
        <v>0</v>
      </c>
      <c r="Z885" s="41">
        <f t="shared" si="846"/>
        <v>0</v>
      </c>
      <c r="AA885" s="41">
        <f t="shared" si="847"/>
        <v>0</v>
      </c>
      <c r="AB885" s="41">
        <f t="shared" si="848"/>
        <v>0</v>
      </c>
      <c r="AC885" s="41">
        <f t="shared" si="849"/>
        <v>0</v>
      </c>
      <c r="AD885" s="31"/>
      <c r="AE885" s="21">
        <f t="shared" si="850"/>
        <v>0</v>
      </c>
      <c r="AF885" s="21">
        <f t="shared" si="851"/>
        <v>0</v>
      </c>
      <c r="AG885" s="21">
        <f t="shared" si="852"/>
        <v>0</v>
      </c>
      <c r="AI885" s="41">
        <v>21</v>
      </c>
      <c r="AJ885" s="41">
        <f t="shared" si="853"/>
        <v>0</v>
      </c>
      <c r="AK885" s="41">
        <f t="shared" si="854"/>
        <v>0</v>
      </c>
      <c r="AL885" s="42" t="s">
        <v>8</v>
      </c>
      <c r="AQ885" s="41">
        <f t="shared" si="855"/>
        <v>0</v>
      </c>
      <c r="AR885" s="41">
        <f t="shared" si="856"/>
        <v>0</v>
      </c>
      <c r="AS885" s="41">
        <f t="shared" si="857"/>
        <v>0</v>
      </c>
      <c r="AT885" s="44" t="s">
        <v>2472</v>
      </c>
      <c r="AU885" s="44" t="s">
        <v>2485</v>
      </c>
      <c r="AV885" s="31" t="s">
        <v>2486</v>
      </c>
      <c r="AX885" s="41">
        <f t="shared" si="858"/>
        <v>0</v>
      </c>
      <c r="AY885" s="41">
        <f t="shared" si="859"/>
        <v>0</v>
      </c>
      <c r="AZ885" s="41">
        <v>0</v>
      </c>
      <c r="BA885" s="41">
        <f t="shared" si="860"/>
        <v>0</v>
      </c>
      <c r="BC885" s="21">
        <f t="shared" si="861"/>
        <v>0</v>
      </c>
      <c r="BD885" s="21">
        <f t="shared" si="862"/>
        <v>0</v>
      </c>
      <c r="BE885" s="21">
        <f t="shared" si="863"/>
        <v>0</v>
      </c>
      <c r="BF885" s="21" t="s">
        <v>2492</v>
      </c>
      <c r="BG885" s="41" t="s">
        <v>1439</v>
      </c>
    </row>
    <row r="886" spans="1:59" x14ac:dyDescent="0.3">
      <c r="A886" s="4" t="s">
        <v>844</v>
      </c>
      <c r="B886" s="13"/>
      <c r="C886" s="13" t="s">
        <v>1463</v>
      </c>
      <c r="D886" s="101" t="s">
        <v>2244</v>
      </c>
      <c r="E886" s="102"/>
      <c r="F886" s="13" t="s">
        <v>2385</v>
      </c>
      <c r="G886" s="21">
        <v>142</v>
      </c>
      <c r="H886" s="21">
        <v>0</v>
      </c>
      <c r="I886" s="21">
        <f t="shared" si="838"/>
        <v>0</v>
      </c>
      <c r="J886" s="21">
        <f t="shared" si="839"/>
        <v>0</v>
      </c>
      <c r="K886" s="21">
        <f t="shared" si="840"/>
        <v>0</v>
      </c>
      <c r="L886" s="21">
        <v>0</v>
      </c>
      <c r="M886" s="21">
        <f t="shared" si="841"/>
        <v>0</v>
      </c>
      <c r="N886" s="35"/>
      <c r="O886" s="39"/>
      <c r="U886" s="41">
        <f t="shared" si="842"/>
        <v>0</v>
      </c>
      <c r="W886" s="41">
        <f t="shared" si="843"/>
        <v>0</v>
      </c>
      <c r="X886" s="41">
        <f t="shared" si="844"/>
        <v>0</v>
      </c>
      <c r="Y886" s="41">
        <f t="shared" si="845"/>
        <v>0</v>
      </c>
      <c r="Z886" s="41">
        <f t="shared" si="846"/>
        <v>0</v>
      </c>
      <c r="AA886" s="41">
        <f t="shared" si="847"/>
        <v>0</v>
      </c>
      <c r="AB886" s="41">
        <f t="shared" si="848"/>
        <v>0</v>
      </c>
      <c r="AC886" s="41">
        <f t="shared" si="849"/>
        <v>0</v>
      </c>
      <c r="AD886" s="31"/>
      <c r="AE886" s="21">
        <f t="shared" si="850"/>
        <v>0</v>
      </c>
      <c r="AF886" s="21">
        <f t="shared" si="851"/>
        <v>0</v>
      </c>
      <c r="AG886" s="21">
        <f t="shared" si="852"/>
        <v>0</v>
      </c>
      <c r="AI886" s="41">
        <v>21</v>
      </c>
      <c r="AJ886" s="41">
        <f t="shared" si="853"/>
        <v>0</v>
      </c>
      <c r="AK886" s="41">
        <f t="shared" si="854"/>
        <v>0</v>
      </c>
      <c r="AL886" s="42" t="s">
        <v>8</v>
      </c>
      <c r="AQ886" s="41">
        <f t="shared" si="855"/>
        <v>0</v>
      </c>
      <c r="AR886" s="41">
        <f t="shared" si="856"/>
        <v>0</v>
      </c>
      <c r="AS886" s="41">
        <f t="shared" si="857"/>
        <v>0</v>
      </c>
      <c r="AT886" s="44" t="s">
        <v>2472</v>
      </c>
      <c r="AU886" s="44" t="s">
        <v>2485</v>
      </c>
      <c r="AV886" s="31" t="s">
        <v>2486</v>
      </c>
      <c r="AX886" s="41">
        <f t="shared" si="858"/>
        <v>0</v>
      </c>
      <c r="AY886" s="41">
        <f t="shared" si="859"/>
        <v>0</v>
      </c>
      <c r="AZ886" s="41">
        <v>0</v>
      </c>
      <c r="BA886" s="41">
        <f t="shared" si="860"/>
        <v>0</v>
      </c>
      <c r="BC886" s="21">
        <f t="shared" si="861"/>
        <v>0</v>
      </c>
      <c r="BD886" s="21">
        <f t="shared" si="862"/>
        <v>0</v>
      </c>
      <c r="BE886" s="21">
        <f t="shared" si="863"/>
        <v>0</v>
      </c>
      <c r="BF886" s="21" t="s">
        <v>2492</v>
      </c>
      <c r="BG886" s="41" t="s">
        <v>1439</v>
      </c>
    </row>
    <row r="887" spans="1:59" x14ac:dyDescent="0.3">
      <c r="A887" s="4" t="s">
        <v>845</v>
      </c>
      <c r="B887" s="13"/>
      <c r="C887" s="13" t="s">
        <v>1464</v>
      </c>
      <c r="D887" s="101" t="s">
        <v>2245</v>
      </c>
      <c r="E887" s="102"/>
      <c r="F887" s="13" t="s">
        <v>2385</v>
      </c>
      <c r="G887" s="21">
        <v>150</v>
      </c>
      <c r="H887" s="21">
        <v>0</v>
      </c>
      <c r="I887" s="21">
        <f t="shared" si="838"/>
        <v>0</v>
      </c>
      <c r="J887" s="21">
        <f t="shared" si="839"/>
        <v>0</v>
      </c>
      <c r="K887" s="21">
        <f t="shared" si="840"/>
        <v>0</v>
      </c>
      <c r="L887" s="21">
        <v>0</v>
      </c>
      <c r="M887" s="21">
        <f t="shared" si="841"/>
        <v>0</v>
      </c>
      <c r="N887" s="35"/>
      <c r="O887" s="39"/>
      <c r="U887" s="41">
        <f t="shared" si="842"/>
        <v>0</v>
      </c>
      <c r="W887" s="41">
        <f t="shared" si="843"/>
        <v>0</v>
      </c>
      <c r="X887" s="41">
        <f t="shared" si="844"/>
        <v>0</v>
      </c>
      <c r="Y887" s="41">
        <f t="shared" si="845"/>
        <v>0</v>
      </c>
      <c r="Z887" s="41">
        <f t="shared" si="846"/>
        <v>0</v>
      </c>
      <c r="AA887" s="41">
        <f t="shared" si="847"/>
        <v>0</v>
      </c>
      <c r="AB887" s="41">
        <f t="shared" si="848"/>
        <v>0</v>
      </c>
      <c r="AC887" s="41">
        <f t="shared" si="849"/>
        <v>0</v>
      </c>
      <c r="AD887" s="31"/>
      <c r="AE887" s="21">
        <f t="shared" si="850"/>
        <v>0</v>
      </c>
      <c r="AF887" s="21">
        <f t="shared" si="851"/>
        <v>0</v>
      </c>
      <c r="AG887" s="21">
        <f t="shared" si="852"/>
        <v>0</v>
      </c>
      <c r="AI887" s="41">
        <v>21</v>
      </c>
      <c r="AJ887" s="41">
        <f t="shared" si="853"/>
        <v>0</v>
      </c>
      <c r="AK887" s="41">
        <f t="shared" si="854"/>
        <v>0</v>
      </c>
      <c r="AL887" s="42" t="s">
        <v>8</v>
      </c>
      <c r="AQ887" s="41">
        <f t="shared" si="855"/>
        <v>0</v>
      </c>
      <c r="AR887" s="41">
        <f t="shared" si="856"/>
        <v>0</v>
      </c>
      <c r="AS887" s="41">
        <f t="shared" si="857"/>
        <v>0</v>
      </c>
      <c r="AT887" s="44" t="s">
        <v>2472</v>
      </c>
      <c r="AU887" s="44" t="s">
        <v>2485</v>
      </c>
      <c r="AV887" s="31" t="s">
        <v>2486</v>
      </c>
      <c r="AX887" s="41">
        <f t="shared" si="858"/>
        <v>0</v>
      </c>
      <c r="AY887" s="41">
        <f t="shared" si="859"/>
        <v>0</v>
      </c>
      <c r="AZ887" s="41">
        <v>0</v>
      </c>
      <c r="BA887" s="41">
        <f t="shared" si="860"/>
        <v>0</v>
      </c>
      <c r="BC887" s="21">
        <f t="shared" si="861"/>
        <v>0</v>
      </c>
      <c r="BD887" s="21">
        <f t="shared" si="862"/>
        <v>0</v>
      </c>
      <c r="BE887" s="21">
        <f t="shared" si="863"/>
        <v>0</v>
      </c>
      <c r="BF887" s="21" t="s">
        <v>2492</v>
      </c>
      <c r="BG887" s="41" t="s">
        <v>1439</v>
      </c>
    </row>
    <row r="888" spans="1:59" x14ac:dyDescent="0.3">
      <c r="A888" s="4" t="s">
        <v>846</v>
      </c>
      <c r="B888" s="13"/>
      <c r="C888" s="13" t="s">
        <v>1465</v>
      </c>
      <c r="D888" s="101" t="s">
        <v>2246</v>
      </c>
      <c r="E888" s="102"/>
      <c r="F888" s="13" t="s">
        <v>2385</v>
      </c>
      <c r="G888" s="21">
        <v>2500</v>
      </c>
      <c r="H888" s="21">
        <v>0</v>
      </c>
      <c r="I888" s="21">
        <f t="shared" si="838"/>
        <v>0</v>
      </c>
      <c r="J888" s="21">
        <f t="shared" si="839"/>
        <v>0</v>
      </c>
      <c r="K888" s="21">
        <f t="shared" si="840"/>
        <v>0</v>
      </c>
      <c r="L888" s="21">
        <v>0</v>
      </c>
      <c r="M888" s="21">
        <f t="shared" si="841"/>
        <v>0</v>
      </c>
      <c r="N888" s="35"/>
      <c r="O888" s="39"/>
      <c r="U888" s="41">
        <f t="shared" si="842"/>
        <v>0</v>
      </c>
      <c r="W888" s="41">
        <f t="shared" si="843"/>
        <v>0</v>
      </c>
      <c r="X888" s="41">
        <f t="shared" si="844"/>
        <v>0</v>
      </c>
      <c r="Y888" s="41">
        <f t="shared" si="845"/>
        <v>0</v>
      </c>
      <c r="Z888" s="41">
        <f t="shared" si="846"/>
        <v>0</v>
      </c>
      <c r="AA888" s="41">
        <f t="shared" si="847"/>
        <v>0</v>
      </c>
      <c r="AB888" s="41">
        <f t="shared" si="848"/>
        <v>0</v>
      </c>
      <c r="AC888" s="41">
        <f t="shared" si="849"/>
        <v>0</v>
      </c>
      <c r="AD888" s="31"/>
      <c r="AE888" s="21">
        <f t="shared" si="850"/>
        <v>0</v>
      </c>
      <c r="AF888" s="21">
        <f t="shared" si="851"/>
        <v>0</v>
      </c>
      <c r="AG888" s="21">
        <f t="shared" si="852"/>
        <v>0</v>
      </c>
      <c r="AI888" s="41">
        <v>21</v>
      </c>
      <c r="AJ888" s="41">
        <f t="shared" si="853"/>
        <v>0</v>
      </c>
      <c r="AK888" s="41">
        <f t="shared" si="854"/>
        <v>0</v>
      </c>
      <c r="AL888" s="42" t="s">
        <v>8</v>
      </c>
      <c r="AQ888" s="41">
        <f t="shared" si="855"/>
        <v>0</v>
      </c>
      <c r="AR888" s="41">
        <f t="shared" si="856"/>
        <v>0</v>
      </c>
      <c r="AS888" s="41">
        <f t="shared" si="857"/>
        <v>0</v>
      </c>
      <c r="AT888" s="44" t="s">
        <v>2472</v>
      </c>
      <c r="AU888" s="44" t="s">
        <v>2485</v>
      </c>
      <c r="AV888" s="31" t="s">
        <v>2486</v>
      </c>
      <c r="AX888" s="41">
        <f t="shared" si="858"/>
        <v>0</v>
      </c>
      <c r="AY888" s="41">
        <f t="shared" si="859"/>
        <v>0</v>
      </c>
      <c r="AZ888" s="41">
        <v>0</v>
      </c>
      <c r="BA888" s="41">
        <f t="shared" si="860"/>
        <v>0</v>
      </c>
      <c r="BC888" s="21">
        <f t="shared" si="861"/>
        <v>0</v>
      </c>
      <c r="BD888" s="21">
        <f t="shared" si="862"/>
        <v>0</v>
      </c>
      <c r="BE888" s="21">
        <f t="shared" si="863"/>
        <v>0</v>
      </c>
      <c r="BF888" s="21" t="s">
        <v>2492</v>
      </c>
      <c r="BG888" s="41" t="s">
        <v>1439</v>
      </c>
    </row>
    <row r="889" spans="1:59" x14ac:dyDescent="0.3">
      <c r="A889" s="4" t="s">
        <v>847</v>
      </c>
      <c r="B889" s="13"/>
      <c r="C889" s="13" t="s">
        <v>1466</v>
      </c>
      <c r="D889" s="101" t="s">
        <v>2247</v>
      </c>
      <c r="E889" s="102"/>
      <c r="F889" s="13" t="s">
        <v>2385</v>
      </c>
      <c r="G889" s="21">
        <v>1500</v>
      </c>
      <c r="H889" s="21">
        <v>0</v>
      </c>
      <c r="I889" s="21">
        <f t="shared" si="838"/>
        <v>0</v>
      </c>
      <c r="J889" s="21">
        <f t="shared" si="839"/>
        <v>0</v>
      </c>
      <c r="K889" s="21">
        <f t="shared" si="840"/>
        <v>0</v>
      </c>
      <c r="L889" s="21">
        <v>0</v>
      </c>
      <c r="M889" s="21">
        <f t="shared" si="841"/>
        <v>0</v>
      </c>
      <c r="N889" s="35"/>
      <c r="O889" s="39"/>
      <c r="U889" s="41">
        <f t="shared" si="842"/>
        <v>0</v>
      </c>
      <c r="W889" s="41">
        <f t="shared" si="843"/>
        <v>0</v>
      </c>
      <c r="X889" s="41">
        <f t="shared" si="844"/>
        <v>0</v>
      </c>
      <c r="Y889" s="41">
        <f t="shared" si="845"/>
        <v>0</v>
      </c>
      <c r="Z889" s="41">
        <f t="shared" si="846"/>
        <v>0</v>
      </c>
      <c r="AA889" s="41">
        <f t="shared" si="847"/>
        <v>0</v>
      </c>
      <c r="AB889" s="41">
        <f t="shared" si="848"/>
        <v>0</v>
      </c>
      <c r="AC889" s="41">
        <f t="shared" si="849"/>
        <v>0</v>
      </c>
      <c r="AD889" s="31"/>
      <c r="AE889" s="21">
        <f t="shared" si="850"/>
        <v>0</v>
      </c>
      <c r="AF889" s="21">
        <f t="shared" si="851"/>
        <v>0</v>
      </c>
      <c r="AG889" s="21">
        <f t="shared" si="852"/>
        <v>0</v>
      </c>
      <c r="AI889" s="41">
        <v>21</v>
      </c>
      <c r="AJ889" s="41">
        <f t="shared" si="853"/>
        <v>0</v>
      </c>
      <c r="AK889" s="41">
        <f t="shared" si="854"/>
        <v>0</v>
      </c>
      <c r="AL889" s="42" t="s">
        <v>8</v>
      </c>
      <c r="AQ889" s="41">
        <f t="shared" si="855"/>
        <v>0</v>
      </c>
      <c r="AR889" s="41">
        <f t="shared" si="856"/>
        <v>0</v>
      </c>
      <c r="AS889" s="41">
        <f t="shared" si="857"/>
        <v>0</v>
      </c>
      <c r="AT889" s="44" t="s">
        <v>2472</v>
      </c>
      <c r="AU889" s="44" t="s">
        <v>2485</v>
      </c>
      <c r="AV889" s="31" t="s">
        <v>2486</v>
      </c>
      <c r="AX889" s="41">
        <f t="shared" si="858"/>
        <v>0</v>
      </c>
      <c r="AY889" s="41">
        <f t="shared" si="859"/>
        <v>0</v>
      </c>
      <c r="AZ889" s="41">
        <v>0</v>
      </c>
      <c r="BA889" s="41">
        <f t="shared" si="860"/>
        <v>0</v>
      </c>
      <c r="BC889" s="21">
        <f t="shared" si="861"/>
        <v>0</v>
      </c>
      <c r="BD889" s="21">
        <f t="shared" si="862"/>
        <v>0</v>
      </c>
      <c r="BE889" s="21">
        <f t="shared" si="863"/>
        <v>0</v>
      </c>
      <c r="BF889" s="21" t="s">
        <v>2492</v>
      </c>
      <c r="BG889" s="41" t="s">
        <v>1439</v>
      </c>
    </row>
    <row r="890" spans="1:59" x14ac:dyDescent="0.3">
      <c r="A890" s="4" t="s">
        <v>848</v>
      </c>
      <c r="B890" s="13"/>
      <c r="C890" s="13" t="s">
        <v>1467</v>
      </c>
      <c r="D890" s="101" t="s">
        <v>2248</v>
      </c>
      <c r="E890" s="102"/>
      <c r="F890" s="13" t="s">
        <v>2386</v>
      </c>
      <c r="G890" s="21">
        <v>1</v>
      </c>
      <c r="H890" s="21">
        <v>0</v>
      </c>
      <c r="I890" s="21">
        <f t="shared" si="838"/>
        <v>0</v>
      </c>
      <c r="J890" s="21">
        <f t="shared" si="839"/>
        <v>0</v>
      </c>
      <c r="K890" s="21">
        <f t="shared" si="840"/>
        <v>0</v>
      </c>
      <c r="L890" s="21">
        <v>0</v>
      </c>
      <c r="M890" s="21">
        <f t="shared" si="841"/>
        <v>0</v>
      </c>
      <c r="N890" s="35"/>
      <c r="O890" s="39"/>
      <c r="U890" s="41">
        <f t="shared" si="842"/>
        <v>0</v>
      </c>
      <c r="W890" s="41">
        <f t="shared" si="843"/>
        <v>0</v>
      </c>
      <c r="X890" s="41">
        <f t="shared" si="844"/>
        <v>0</v>
      </c>
      <c r="Y890" s="41">
        <f t="shared" si="845"/>
        <v>0</v>
      </c>
      <c r="Z890" s="41">
        <f t="shared" si="846"/>
        <v>0</v>
      </c>
      <c r="AA890" s="41">
        <f t="shared" si="847"/>
        <v>0</v>
      </c>
      <c r="AB890" s="41">
        <f t="shared" si="848"/>
        <v>0</v>
      </c>
      <c r="AC890" s="41">
        <f t="shared" si="849"/>
        <v>0</v>
      </c>
      <c r="AD890" s="31"/>
      <c r="AE890" s="21">
        <f t="shared" si="850"/>
        <v>0</v>
      </c>
      <c r="AF890" s="21">
        <f t="shared" si="851"/>
        <v>0</v>
      </c>
      <c r="AG890" s="21">
        <f t="shared" si="852"/>
        <v>0</v>
      </c>
      <c r="AI890" s="41">
        <v>21</v>
      </c>
      <c r="AJ890" s="41">
        <f t="shared" si="853"/>
        <v>0</v>
      </c>
      <c r="AK890" s="41">
        <f t="shared" si="854"/>
        <v>0</v>
      </c>
      <c r="AL890" s="42" t="s">
        <v>8</v>
      </c>
      <c r="AQ890" s="41">
        <f t="shared" si="855"/>
        <v>0</v>
      </c>
      <c r="AR890" s="41">
        <f t="shared" si="856"/>
        <v>0</v>
      </c>
      <c r="AS890" s="41">
        <f t="shared" si="857"/>
        <v>0</v>
      </c>
      <c r="AT890" s="44" t="s">
        <v>2472</v>
      </c>
      <c r="AU890" s="44" t="s">
        <v>2485</v>
      </c>
      <c r="AV890" s="31" t="s">
        <v>2486</v>
      </c>
      <c r="AX890" s="41">
        <f t="shared" si="858"/>
        <v>0</v>
      </c>
      <c r="AY890" s="41">
        <f t="shared" si="859"/>
        <v>0</v>
      </c>
      <c r="AZ890" s="41">
        <v>0</v>
      </c>
      <c r="BA890" s="41">
        <f t="shared" si="860"/>
        <v>0</v>
      </c>
      <c r="BC890" s="21">
        <f t="shared" si="861"/>
        <v>0</v>
      </c>
      <c r="BD890" s="21">
        <f t="shared" si="862"/>
        <v>0</v>
      </c>
      <c r="BE890" s="21">
        <f t="shared" si="863"/>
        <v>0</v>
      </c>
      <c r="BF890" s="21" t="s">
        <v>2492</v>
      </c>
      <c r="BG890" s="41" t="s">
        <v>1439</v>
      </c>
    </row>
    <row r="891" spans="1:59" x14ac:dyDescent="0.3">
      <c r="A891" s="4" t="s">
        <v>849</v>
      </c>
      <c r="B891" s="13"/>
      <c r="C891" s="13" t="s">
        <v>1468</v>
      </c>
      <c r="D891" s="101" t="s">
        <v>1651</v>
      </c>
      <c r="E891" s="102"/>
      <c r="F891" s="13" t="s">
        <v>2386</v>
      </c>
      <c r="G891" s="21">
        <v>1</v>
      </c>
      <c r="H891" s="21">
        <v>0</v>
      </c>
      <c r="I891" s="21">
        <f t="shared" si="838"/>
        <v>0</v>
      </c>
      <c r="J891" s="21">
        <f t="shared" si="839"/>
        <v>0</v>
      </c>
      <c r="K891" s="21">
        <f t="shared" si="840"/>
        <v>0</v>
      </c>
      <c r="L891" s="21">
        <v>0</v>
      </c>
      <c r="M891" s="21">
        <f t="shared" si="841"/>
        <v>0</v>
      </c>
      <c r="N891" s="35"/>
      <c r="O891" s="39"/>
      <c r="U891" s="41">
        <f t="shared" si="842"/>
        <v>0</v>
      </c>
      <c r="W891" s="41">
        <f t="shared" si="843"/>
        <v>0</v>
      </c>
      <c r="X891" s="41">
        <f t="shared" si="844"/>
        <v>0</v>
      </c>
      <c r="Y891" s="41">
        <f t="shared" si="845"/>
        <v>0</v>
      </c>
      <c r="Z891" s="41">
        <f t="shared" si="846"/>
        <v>0</v>
      </c>
      <c r="AA891" s="41">
        <f t="shared" si="847"/>
        <v>0</v>
      </c>
      <c r="AB891" s="41">
        <f t="shared" si="848"/>
        <v>0</v>
      </c>
      <c r="AC891" s="41">
        <f t="shared" si="849"/>
        <v>0</v>
      </c>
      <c r="AD891" s="31"/>
      <c r="AE891" s="21">
        <f t="shared" si="850"/>
        <v>0</v>
      </c>
      <c r="AF891" s="21">
        <f t="shared" si="851"/>
        <v>0</v>
      </c>
      <c r="AG891" s="21">
        <f t="shared" si="852"/>
        <v>0</v>
      </c>
      <c r="AI891" s="41">
        <v>21</v>
      </c>
      <c r="AJ891" s="41">
        <f t="shared" si="853"/>
        <v>0</v>
      </c>
      <c r="AK891" s="41">
        <f t="shared" si="854"/>
        <v>0</v>
      </c>
      <c r="AL891" s="42" t="s">
        <v>8</v>
      </c>
      <c r="AQ891" s="41">
        <f t="shared" si="855"/>
        <v>0</v>
      </c>
      <c r="AR891" s="41">
        <f t="shared" si="856"/>
        <v>0</v>
      </c>
      <c r="AS891" s="41">
        <f t="shared" si="857"/>
        <v>0</v>
      </c>
      <c r="AT891" s="44" t="s">
        <v>2472</v>
      </c>
      <c r="AU891" s="44" t="s">
        <v>2485</v>
      </c>
      <c r="AV891" s="31" t="s">
        <v>2486</v>
      </c>
      <c r="AX891" s="41">
        <f t="shared" si="858"/>
        <v>0</v>
      </c>
      <c r="AY891" s="41">
        <f t="shared" si="859"/>
        <v>0</v>
      </c>
      <c r="AZ891" s="41">
        <v>0</v>
      </c>
      <c r="BA891" s="41">
        <f t="shared" si="860"/>
        <v>0</v>
      </c>
      <c r="BC891" s="21">
        <f t="shared" si="861"/>
        <v>0</v>
      </c>
      <c r="BD891" s="21">
        <f t="shared" si="862"/>
        <v>0</v>
      </c>
      <c r="BE891" s="21">
        <f t="shared" si="863"/>
        <v>0</v>
      </c>
      <c r="BF891" s="21" t="s">
        <v>2492</v>
      </c>
      <c r="BG891" s="41" t="s">
        <v>1439</v>
      </c>
    </row>
    <row r="892" spans="1:59" x14ac:dyDescent="0.3">
      <c r="A892" s="4" t="s">
        <v>850</v>
      </c>
      <c r="B892" s="13"/>
      <c r="C892" s="13" t="s">
        <v>1469</v>
      </c>
      <c r="D892" s="101" t="s">
        <v>2249</v>
      </c>
      <c r="E892" s="102"/>
      <c r="F892" s="13" t="s">
        <v>2385</v>
      </c>
      <c r="G892" s="21">
        <v>184</v>
      </c>
      <c r="H892" s="21">
        <v>0</v>
      </c>
      <c r="I892" s="21">
        <f t="shared" si="838"/>
        <v>0</v>
      </c>
      <c r="J892" s="21">
        <f t="shared" si="839"/>
        <v>0</v>
      </c>
      <c r="K892" s="21">
        <f t="shared" si="840"/>
        <v>0</v>
      </c>
      <c r="L892" s="21">
        <v>0</v>
      </c>
      <c r="M892" s="21">
        <f t="shared" si="841"/>
        <v>0</v>
      </c>
      <c r="N892" s="35"/>
      <c r="O892" s="39"/>
      <c r="U892" s="41">
        <f t="shared" si="842"/>
        <v>0</v>
      </c>
      <c r="W892" s="41">
        <f t="shared" si="843"/>
        <v>0</v>
      </c>
      <c r="X892" s="41">
        <f t="shared" si="844"/>
        <v>0</v>
      </c>
      <c r="Y892" s="41">
        <f t="shared" si="845"/>
        <v>0</v>
      </c>
      <c r="Z892" s="41">
        <f t="shared" si="846"/>
        <v>0</v>
      </c>
      <c r="AA892" s="41">
        <f t="shared" si="847"/>
        <v>0</v>
      </c>
      <c r="AB892" s="41">
        <f t="shared" si="848"/>
        <v>0</v>
      </c>
      <c r="AC892" s="41">
        <f t="shared" si="849"/>
        <v>0</v>
      </c>
      <c r="AD892" s="31"/>
      <c r="AE892" s="21">
        <f t="shared" si="850"/>
        <v>0</v>
      </c>
      <c r="AF892" s="21">
        <f t="shared" si="851"/>
        <v>0</v>
      </c>
      <c r="AG892" s="21">
        <f t="shared" si="852"/>
        <v>0</v>
      </c>
      <c r="AI892" s="41">
        <v>21</v>
      </c>
      <c r="AJ892" s="41">
        <f t="shared" si="853"/>
        <v>0</v>
      </c>
      <c r="AK892" s="41">
        <f t="shared" si="854"/>
        <v>0</v>
      </c>
      <c r="AL892" s="42" t="s">
        <v>8</v>
      </c>
      <c r="AQ892" s="41">
        <f t="shared" si="855"/>
        <v>0</v>
      </c>
      <c r="AR892" s="41">
        <f t="shared" si="856"/>
        <v>0</v>
      </c>
      <c r="AS892" s="41">
        <f t="shared" si="857"/>
        <v>0</v>
      </c>
      <c r="AT892" s="44" t="s">
        <v>2472</v>
      </c>
      <c r="AU892" s="44" t="s">
        <v>2485</v>
      </c>
      <c r="AV892" s="31" t="s">
        <v>2486</v>
      </c>
      <c r="AX892" s="41">
        <f t="shared" si="858"/>
        <v>0</v>
      </c>
      <c r="AY892" s="41">
        <f t="shared" si="859"/>
        <v>0</v>
      </c>
      <c r="AZ892" s="41">
        <v>0</v>
      </c>
      <c r="BA892" s="41">
        <f t="shared" si="860"/>
        <v>0</v>
      </c>
      <c r="BC892" s="21">
        <f t="shared" si="861"/>
        <v>0</v>
      </c>
      <c r="BD892" s="21">
        <f t="shared" si="862"/>
        <v>0</v>
      </c>
      <c r="BE892" s="21">
        <f t="shared" si="863"/>
        <v>0</v>
      </c>
      <c r="BF892" s="21" t="s">
        <v>2492</v>
      </c>
      <c r="BG892" s="41" t="s">
        <v>1439</v>
      </c>
    </row>
    <row r="893" spans="1:59" x14ac:dyDescent="0.3">
      <c r="A893" s="4" t="s">
        <v>851</v>
      </c>
      <c r="B893" s="13"/>
      <c r="C893" s="13" t="s">
        <v>1470</v>
      </c>
      <c r="D893" s="101" t="s">
        <v>2250</v>
      </c>
      <c r="E893" s="102"/>
      <c r="F893" s="13" t="s">
        <v>2385</v>
      </c>
      <c r="G893" s="21">
        <v>72</v>
      </c>
      <c r="H893" s="21">
        <v>0</v>
      </c>
      <c r="I893" s="21">
        <f t="shared" si="838"/>
        <v>0</v>
      </c>
      <c r="J893" s="21">
        <f t="shared" si="839"/>
        <v>0</v>
      </c>
      <c r="K893" s="21">
        <f t="shared" si="840"/>
        <v>0</v>
      </c>
      <c r="L893" s="21">
        <v>0</v>
      </c>
      <c r="M893" s="21">
        <f t="shared" si="841"/>
        <v>0</v>
      </c>
      <c r="N893" s="35"/>
      <c r="O893" s="39"/>
      <c r="U893" s="41">
        <f t="shared" si="842"/>
        <v>0</v>
      </c>
      <c r="W893" s="41">
        <f t="shared" si="843"/>
        <v>0</v>
      </c>
      <c r="X893" s="41">
        <f t="shared" si="844"/>
        <v>0</v>
      </c>
      <c r="Y893" s="41">
        <f t="shared" si="845"/>
        <v>0</v>
      </c>
      <c r="Z893" s="41">
        <f t="shared" si="846"/>
        <v>0</v>
      </c>
      <c r="AA893" s="41">
        <f t="shared" si="847"/>
        <v>0</v>
      </c>
      <c r="AB893" s="41">
        <f t="shared" si="848"/>
        <v>0</v>
      </c>
      <c r="AC893" s="41">
        <f t="shared" si="849"/>
        <v>0</v>
      </c>
      <c r="AD893" s="31"/>
      <c r="AE893" s="21">
        <f t="shared" si="850"/>
        <v>0</v>
      </c>
      <c r="AF893" s="21">
        <f t="shared" si="851"/>
        <v>0</v>
      </c>
      <c r="AG893" s="21">
        <f t="shared" si="852"/>
        <v>0</v>
      </c>
      <c r="AI893" s="41">
        <v>21</v>
      </c>
      <c r="AJ893" s="41">
        <f t="shared" si="853"/>
        <v>0</v>
      </c>
      <c r="AK893" s="41">
        <f t="shared" si="854"/>
        <v>0</v>
      </c>
      <c r="AL893" s="42" t="s">
        <v>8</v>
      </c>
      <c r="AQ893" s="41">
        <f t="shared" si="855"/>
        <v>0</v>
      </c>
      <c r="AR893" s="41">
        <f t="shared" si="856"/>
        <v>0</v>
      </c>
      <c r="AS893" s="41">
        <f t="shared" si="857"/>
        <v>0</v>
      </c>
      <c r="AT893" s="44" t="s">
        <v>2472</v>
      </c>
      <c r="AU893" s="44" t="s">
        <v>2485</v>
      </c>
      <c r="AV893" s="31" t="s">
        <v>2486</v>
      </c>
      <c r="AX893" s="41">
        <f t="shared" si="858"/>
        <v>0</v>
      </c>
      <c r="AY893" s="41">
        <f t="shared" si="859"/>
        <v>0</v>
      </c>
      <c r="AZ893" s="41">
        <v>0</v>
      </c>
      <c r="BA893" s="41">
        <f t="shared" si="860"/>
        <v>0</v>
      </c>
      <c r="BC893" s="21">
        <f t="shared" si="861"/>
        <v>0</v>
      </c>
      <c r="BD893" s="21">
        <f t="shared" si="862"/>
        <v>0</v>
      </c>
      <c r="BE893" s="21">
        <f t="shared" si="863"/>
        <v>0</v>
      </c>
      <c r="BF893" s="21" t="s">
        <v>2492</v>
      </c>
      <c r="BG893" s="41" t="s">
        <v>1439</v>
      </c>
    </row>
    <row r="894" spans="1:59" x14ac:dyDescent="0.3">
      <c r="A894" s="4" t="s">
        <v>852</v>
      </c>
      <c r="B894" s="13"/>
      <c r="C894" s="13" t="s">
        <v>1471</v>
      </c>
      <c r="D894" s="101" t="s">
        <v>1653</v>
      </c>
      <c r="E894" s="102"/>
      <c r="F894" s="13" t="s">
        <v>2386</v>
      </c>
      <c r="G894" s="21">
        <v>1</v>
      </c>
      <c r="H894" s="21">
        <v>0</v>
      </c>
      <c r="I894" s="21">
        <f t="shared" si="838"/>
        <v>0</v>
      </c>
      <c r="J894" s="21">
        <f t="shared" si="839"/>
        <v>0</v>
      </c>
      <c r="K894" s="21">
        <f t="shared" si="840"/>
        <v>0</v>
      </c>
      <c r="L894" s="21">
        <v>0</v>
      </c>
      <c r="M894" s="21">
        <f t="shared" si="841"/>
        <v>0</v>
      </c>
      <c r="N894" s="35"/>
      <c r="O894" s="39"/>
      <c r="U894" s="41">
        <f t="shared" si="842"/>
        <v>0</v>
      </c>
      <c r="W894" s="41">
        <f t="shared" si="843"/>
        <v>0</v>
      </c>
      <c r="X894" s="41">
        <f t="shared" si="844"/>
        <v>0</v>
      </c>
      <c r="Y894" s="41">
        <f t="shared" si="845"/>
        <v>0</v>
      </c>
      <c r="Z894" s="41">
        <f t="shared" si="846"/>
        <v>0</v>
      </c>
      <c r="AA894" s="41">
        <f t="shared" si="847"/>
        <v>0</v>
      </c>
      <c r="AB894" s="41">
        <f t="shared" si="848"/>
        <v>0</v>
      </c>
      <c r="AC894" s="41">
        <f t="shared" si="849"/>
        <v>0</v>
      </c>
      <c r="AD894" s="31"/>
      <c r="AE894" s="21">
        <f t="shared" si="850"/>
        <v>0</v>
      </c>
      <c r="AF894" s="21">
        <f t="shared" si="851"/>
        <v>0</v>
      </c>
      <c r="AG894" s="21">
        <f t="shared" si="852"/>
        <v>0</v>
      </c>
      <c r="AI894" s="41">
        <v>21</v>
      </c>
      <c r="AJ894" s="41">
        <f t="shared" si="853"/>
        <v>0</v>
      </c>
      <c r="AK894" s="41">
        <f t="shared" si="854"/>
        <v>0</v>
      </c>
      <c r="AL894" s="42" t="s">
        <v>8</v>
      </c>
      <c r="AQ894" s="41">
        <f t="shared" si="855"/>
        <v>0</v>
      </c>
      <c r="AR894" s="41">
        <f t="shared" si="856"/>
        <v>0</v>
      </c>
      <c r="AS894" s="41">
        <f t="shared" si="857"/>
        <v>0</v>
      </c>
      <c r="AT894" s="44" t="s">
        <v>2472</v>
      </c>
      <c r="AU894" s="44" t="s">
        <v>2485</v>
      </c>
      <c r="AV894" s="31" t="s">
        <v>2486</v>
      </c>
      <c r="AX894" s="41">
        <f t="shared" si="858"/>
        <v>0</v>
      </c>
      <c r="AY894" s="41">
        <f t="shared" si="859"/>
        <v>0</v>
      </c>
      <c r="AZ894" s="41">
        <v>0</v>
      </c>
      <c r="BA894" s="41">
        <f t="shared" si="860"/>
        <v>0</v>
      </c>
      <c r="BC894" s="21">
        <f t="shared" si="861"/>
        <v>0</v>
      </c>
      <c r="BD894" s="21">
        <f t="shared" si="862"/>
        <v>0</v>
      </c>
      <c r="BE894" s="21">
        <f t="shared" si="863"/>
        <v>0</v>
      </c>
      <c r="BF894" s="21" t="s">
        <v>2492</v>
      </c>
      <c r="BG894" s="41" t="s">
        <v>1439</v>
      </c>
    </row>
    <row r="895" spans="1:59" x14ac:dyDescent="0.3">
      <c r="A895" s="4" t="s">
        <v>853</v>
      </c>
      <c r="B895" s="13"/>
      <c r="C895" s="13" t="s">
        <v>1472</v>
      </c>
      <c r="D895" s="101" t="s">
        <v>1654</v>
      </c>
      <c r="E895" s="102"/>
      <c r="F895" s="13" t="s">
        <v>2386</v>
      </c>
      <c r="G895" s="21">
        <v>1</v>
      </c>
      <c r="H895" s="21">
        <v>0</v>
      </c>
      <c r="I895" s="21">
        <f t="shared" ref="I895:I911" si="864">G895*AJ895</f>
        <v>0</v>
      </c>
      <c r="J895" s="21">
        <f t="shared" ref="J895:J911" si="865">G895*AK895</f>
        <v>0</v>
      </c>
      <c r="K895" s="21">
        <f t="shared" ref="K895:K911" si="866">G895*H895</f>
        <v>0</v>
      </c>
      <c r="L895" s="21">
        <v>0</v>
      </c>
      <c r="M895" s="21">
        <f t="shared" ref="M895:M911" si="867">G895*L895</f>
        <v>0</v>
      </c>
      <c r="N895" s="35"/>
      <c r="O895" s="39"/>
      <c r="U895" s="41">
        <f t="shared" ref="U895:U911" si="868">IF(AL895="5",BE895,0)</f>
        <v>0</v>
      </c>
      <c r="W895" s="41">
        <f t="shared" ref="W895:W911" si="869">IF(AL895="1",BC895,0)</f>
        <v>0</v>
      </c>
      <c r="X895" s="41">
        <f t="shared" ref="X895:X911" si="870">IF(AL895="1",BD895,0)</f>
        <v>0</v>
      </c>
      <c r="Y895" s="41">
        <f t="shared" ref="Y895:Y911" si="871">IF(AL895="7",BC895,0)</f>
        <v>0</v>
      </c>
      <c r="Z895" s="41">
        <f t="shared" ref="Z895:Z911" si="872">IF(AL895="7",BD895,0)</f>
        <v>0</v>
      </c>
      <c r="AA895" s="41">
        <f t="shared" ref="AA895:AA911" si="873">IF(AL895="2",BC895,0)</f>
        <v>0</v>
      </c>
      <c r="AB895" s="41">
        <f t="shared" ref="AB895:AB911" si="874">IF(AL895="2",BD895,0)</f>
        <v>0</v>
      </c>
      <c r="AC895" s="41">
        <f t="shared" ref="AC895:AC911" si="875">IF(AL895="0",BE895,0)</f>
        <v>0</v>
      </c>
      <c r="AD895" s="31"/>
      <c r="AE895" s="21">
        <f t="shared" ref="AE895:AE911" si="876">IF(AI895=0,K895,0)</f>
        <v>0</v>
      </c>
      <c r="AF895" s="21">
        <f t="shared" ref="AF895:AF911" si="877">IF(AI895=15,K895,0)</f>
        <v>0</v>
      </c>
      <c r="AG895" s="21">
        <f t="shared" ref="AG895:AG911" si="878">IF(AI895=21,K895,0)</f>
        <v>0</v>
      </c>
      <c r="AI895" s="41">
        <v>21</v>
      </c>
      <c r="AJ895" s="41">
        <f t="shared" ref="AJ895:AJ911" si="879">H895*0</f>
        <v>0</v>
      </c>
      <c r="AK895" s="41">
        <f t="shared" ref="AK895:AK911" si="880">H895*(1-0)</f>
        <v>0</v>
      </c>
      <c r="AL895" s="42" t="s">
        <v>8</v>
      </c>
      <c r="AQ895" s="41">
        <f t="shared" ref="AQ895:AQ911" si="881">AR895+AS895</f>
        <v>0</v>
      </c>
      <c r="AR895" s="41">
        <f t="shared" ref="AR895:AR911" si="882">G895*AJ895</f>
        <v>0</v>
      </c>
      <c r="AS895" s="41">
        <f t="shared" ref="AS895:AS911" si="883">G895*AK895</f>
        <v>0</v>
      </c>
      <c r="AT895" s="44" t="s">
        <v>2472</v>
      </c>
      <c r="AU895" s="44" t="s">
        <v>2485</v>
      </c>
      <c r="AV895" s="31" t="s">
        <v>2486</v>
      </c>
      <c r="AX895" s="41">
        <f t="shared" ref="AX895:AX911" si="884">AR895+AS895</f>
        <v>0</v>
      </c>
      <c r="AY895" s="41">
        <f t="shared" ref="AY895:AY911" si="885">H895/(100-AZ895)*100</f>
        <v>0</v>
      </c>
      <c r="AZ895" s="41">
        <v>0</v>
      </c>
      <c r="BA895" s="41">
        <f t="shared" ref="BA895:BA911" si="886">M895</f>
        <v>0</v>
      </c>
      <c r="BC895" s="21">
        <f t="shared" ref="BC895:BC911" si="887">G895*AJ895</f>
        <v>0</v>
      </c>
      <c r="BD895" s="21">
        <f t="shared" ref="BD895:BD911" si="888">G895*AK895</f>
        <v>0</v>
      </c>
      <c r="BE895" s="21">
        <f t="shared" ref="BE895:BE911" si="889">G895*H895</f>
        <v>0</v>
      </c>
      <c r="BF895" s="21" t="s">
        <v>2492</v>
      </c>
      <c r="BG895" s="41" t="s">
        <v>1439</v>
      </c>
    </row>
    <row r="896" spans="1:59" x14ac:dyDescent="0.3">
      <c r="A896" s="4" t="s">
        <v>854</v>
      </c>
      <c r="B896" s="13"/>
      <c r="C896" s="13" t="s">
        <v>1473</v>
      </c>
      <c r="D896" s="101" t="s">
        <v>1655</v>
      </c>
      <c r="E896" s="102"/>
      <c r="F896" s="13" t="s">
        <v>2386</v>
      </c>
      <c r="G896" s="21">
        <v>1</v>
      </c>
      <c r="H896" s="21">
        <v>0</v>
      </c>
      <c r="I896" s="21">
        <f t="shared" si="864"/>
        <v>0</v>
      </c>
      <c r="J896" s="21">
        <f t="shared" si="865"/>
        <v>0</v>
      </c>
      <c r="K896" s="21">
        <f t="shared" si="866"/>
        <v>0</v>
      </c>
      <c r="L896" s="21">
        <v>0</v>
      </c>
      <c r="M896" s="21">
        <f t="shared" si="867"/>
        <v>0</v>
      </c>
      <c r="N896" s="35"/>
      <c r="O896" s="39"/>
      <c r="U896" s="41">
        <f t="shared" si="868"/>
        <v>0</v>
      </c>
      <c r="W896" s="41">
        <f t="shared" si="869"/>
        <v>0</v>
      </c>
      <c r="X896" s="41">
        <f t="shared" si="870"/>
        <v>0</v>
      </c>
      <c r="Y896" s="41">
        <f t="shared" si="871"/>
        <v>0</v>
      </c>
      <c r="Z896" s="41">
        <f t="shared" si="872"/>
        <v>0</v>
      </c>
      <c r="AA896" s="41">
        <f t="shared" si="873"/>
        <v>0</v>
      </c>
      <c r="AB896" s="41">
        <f t="shared" si="874"/>
        <v>0</v>
      </c>
      <c r="AC896" s="41">
        <f t="shared" si="875"/>
        <v>0</v>
      </c>
      <c r="AD896" s="31"/>
      <c r="AE896" s="21">
        <f t="shared" si="876"/>
        <v>0</v>
      </c>
      <c r="AF896" s="21">
        <f t="shared" si="877"/>
        <v>0</v>
      </c>
      <c r="AG896" s="21">
        <f t="shared" si="878"/>
        <v>0</v>
      </c>
      <c r="AI896" s="41">
        <v>21</v>
      </c>
      <c r="AJ896" s="41">
        <f t="shared" si="879"/>
        <v>0</v>
      </c>
      <c r="AK896" s="41">
        <f t="shared" si="880"/>
        <v>0</v>
      </c>
      <c r="AL896" s="42" t="s">
        <v>8</v>
      </c>
      <c r="AQ896" s="41">
        <f t="shared" si="881"/>
        <v>0</v>
      </c>
      <c r="AR896" s="41">
        <f t="shared" si="882"/>
        <v>0</v>
      </c>
      <c r="AS896" s="41">
        <f t="shared" si="883"/>
        <v>0</v>
      </c>
      <c r="AT896" s="44" t="s">
        <v>2472</v>
      </c>
      <c r="AU896" s="44" t="s">
        <v>2485</v>
      </c>
      <c r="AV896" s="31" t="s">
        <v>2486</v>
      </c>
      <c r="AX896" s="41">
        <f t="shared" si="884"/>
        <v>0</v>
      </c>
      <c r="AY896" s="41">
        <f t="shared" si="885"/>
        <v>0</v>
      </c>
      <c r="AZ896" s="41">
        <v>0</v>
      </c>
      <c r="BA896" s="41">
        <f t="shared" si="886"/>
        <v>0</v>
      </c>
      <c r="BC896" s="21">
        <f t="shared" si="887"/>
        <v>0</v>
      </c>
      <c r="BD896" s="21">
        <f t="shared" si="888"/>
        <v>0</v>
      </c>
      <c r="BE896" s="21">
        <f t="shared" si="889"/>
        <v>0</v>
      </c>
      <c r="BF896" s="21" t="s">
        <v>2492</v>
      </c>
      <c r="BG896" s="41" t="s">
        <v>1439</v>
      </c>
    </row>
    <row r="897" spans="1:59" x14ac:dyDescent="0.3">
      <c r="A897" s="4" t="s">
        <v>855</v>
      </c>
      <c r="B897" s="13"/>
      <c r="C897" s="13" t="s">
        <v>1474</v>
      </c>
      <c r="D897" s="101" t="s">
        <v>2251</v>
      </c>
      <c r="E897" s="102"/>
      <c r="F897" s="13" t="s">
        <v>2386</v>
      </c>
      <c r="G897" s="21">
        <v>1</v>
      </c>
      <c r="H897" s="21">
        <v>0</v>
      </c>
      <c r="I897" s="21">
        <f t="shared" si="864"/>
        <v>0</v>
      </c>
      <c r="J897" s="21">
        <f t="shared" si="865"/>
        <v>0</v>
      </c>
      <c r="K897" s="21">
        <f t="shared" si="866"/>
        <v>0</v>
      </c>
      <c r="L897" s="21">
        <v>0</v>
      </c>
      <c r="M897" s="21">
        <f t="shared" si="867"/>
        <v>0</v>
      </c>
      <c r="N897" s="35"/>
      <c r="O897" s="39"/>
      <c r="U897" s="41">
        <f t="shared" si="868"/>
        <v>0</v>
      </c>
      <c r="W897" s="41">
        <f t="shared" si="869"/>
        <v>0</v>
      </c>
      <c r="X897" s="41">
        <f t="shared" si="870"/>
        <v>0</v>
      </c>
      <c r="Y897" s="41">
        <f t="shared" si="871"/>
        <v>0</v>
      </c>
      <c r="Z897" s="41">
        <f t="shared" si="872"/>
        <v>0</v>
      </c>
      <c r="AA897" s="41">
        <f t="shared" si="873"/>
        <v>0</v>
      </c>
      <c r="AB897" s="41">
        <f t="shared" si="874"/>
        <v>0</v>
      </c>
      <c r="AC897" s="41">
        <f t="shared" si="875"/>
        <v>0</v>
      </c>
      <c r="AD897" s="31"/>
      <c r="AE897" s="21">
        <f t="shared" si="876"/>
        <v>0</v>
      </c>
      <c r="AF897" s="21">
        <f t="shared" si="877"/>
        <v>0</v>
      </c>
      <c r="AG897" s="21">
        <f t="shared" si="878"/>
        <v>0</v>
      </c>
      <c r="AI897" s="41">
        <v>21</v>
      </c>
      <c r="AJ897" s="41">
        <f t="shared" si="879"/>
        <v>0</v>
      </c>
      <c r="AK897" s="41">
        <f t="shared" si="880"/>
        <v>0</v>
      </c>
      <c r="AL897" s="42" t="s">
        <v>8</v>
      </c>
      <c r="AQ897" s="41">
        <f t="shared" si="881"/>
        <v>0</v>
      </c>
      <c r="AR897" s="41">
        <f t="shared" si="882"/>
        <v>0</v>
      </c>
      <c r="AS897" s="41">
        <f t="shared" si="883"/>
        <v>0</v>
      </c>
      <c r="AT897" s="44" t="s">
        <v>2472</v>
      </c>
      <c r="AU897" s="44" t="s">
        <v>2485</v>
      </c>
      <c r="AV897" s="31" t="s">
        <v>2486</v>
      </c>
      <c r="AX897" s="41">
        <f t="shared" si="884"/>
        <v>0</v>
      </c>
      <c r="AY897" s="41">
        <f t="shared" si="885"/>
        <v>0</v>
      </c>
      <c r="AZ897" s="41">
        <v>0</v>
      </c>
      <c r="BA897" s="41">
        <f t="shared" si="886"/>
        <v>0</v>
      </c>
      <c r="BC897" s="21">
        <f t="shared" si="887"/>
        <v>0</v>
      </c>
      <c r="BD897" s="21">
        <f t="shared" si="888"/>
        <v>0</v>
      </c>
      <c r="BE897" s="21">
        <f t="shared" si="889"/>
        <v>0</v>
      </c>
      <c r="BF897" s="21" t="s">
        <v>2492</v>
      </c>
      <c r="BG897" s="41" t="s">
        <v>1439</v>
      </c>
    </row>
    <row r="898" spans="1:59" x14ac:dyDescent="0.3">
      <c r="A898" s="4" t="s">
        <v>856</v>
      </c>
      <c r="B898" s="13"/>
      <c r="C898" s="13" t="s">
        <v>1475</v>
      </c>
      <c r="D898" s="101" t="s">
        <v>2252</v>
      </c>
      <c r="E898" s="102"/>
      <c r="F898" s="13" t="s">
        <v>2386</v>
      </c>
      <c r="G898" s="21">
        <v>1</v>
      </c>
      <c r="H898" s="21">
        <v>0</v>
      </c>
      <c r="I898" s="21">
        <f t="shared" si="864"/>
        <v>0</v>
      </c>
      <c r="J898" s="21">
        <f t="shared" si="865"/>
        <v>0</v>
      </c>
      <c r="K898" s="21">
        <f t="shared" si="866"/>
        <v>0</v>
      </c>
      <c r="L898" s="21">
        <v>0</v>
      </c>
      <c r="M898" s="21">
        <f t="shared" si="867"/>
        <v>0</v>
      </c>
      <c r="N898" s="35"/>
      <c r="O898" s="39"/>
      <c r="U898" s="41">
        <f t="shared" si="868"/>
        <v>0</v>
      </c>
      <c r="W898" s="41">
        <f t="shared" si="869"/>
        <v>0</v>
      </c>
      <c r="X898" s="41">
        <f t="shared" si="870"/>
        <v>0</v>
      </c>
      <c r="Y898" s="41">
        <f t="shared" si="871"/>
        <v>0</v>
      </c>
      <c r="Z898" s="41">
        <f t="shared" si="872"/>
        <v>0</v>
      </c>
      <c r="AA898" s="41">
        <f t="shared" si="873"/>
        <v>0</v>
      </c>
      <c r="AB898" s="41">
        <f t="shared" si="874"/>
        <v>0</v>
      </c>
      <c r="AC898" s="41">
        <f t="shared" si="875"/>
        <v>0</v>
      </c>
      <c r="AD898" s="31"/>
      <c r="AE898" s="21">
        <f t="shared" si="876"/>
        <v>0</v>
      </c>
      <c r="AF898" s="21">
        <f t="shared" si="877"/>
        <v>0</v>
      </c>
      <c r="AG898" s="21">
        <f t="shared" si="878"/>
        <v>0</v>
      </c>
      <c r="AI898" s="41">
        <v>21</v>
      </c>
      <c r="AJ898" s="41">
        <f t="shared" si="879"/>
        <v>0</v>
      </c>
      <c r="AK898" s="41">
        <f t="shared" si="880"/>
        <v>0</v>
      </c>
      <c r="AL898" s="42" t="s">
        <v>8</v>
      </c>
      <c r="AQ898" s="41">
        <f t="shared" si="881"/>
        <v>0</v>
      </c>
      <c r="AR898" s="41">
        <f t="shared" si="882"/>
        <v>0</v>
      </c>
      <c r="AS898" s="41">
        <f t="shared" si="883"/>
        <v>0</v>
      </c>
      <c r="AT898" s="44" t="s">
        <v>2472</v>
      </c>
      <c r="AU898" s="44" t="s">
        <v>2485</v>
      </c>
      <c r="AV898" s="31" t="s">
        <v>2486</v>
      </c>
      <c r="AX898" s="41">
        <f t="shared" si="884"/>
        <v>0</v>
      </c>
      <c r="AY898" s="41">
        <f t="shared" si="885"/>
        <v>0</v>
      </c>
      <c r="AZ898" s="41">
        <v>0</v>
      </c>
      <c r="BA898" s="41">
        <f t="shared" si="886"/>
        <v>0</v>
      </c>
      <c r="BC898" s="21">
        <f t="shared" si="887"/>
        <v>0</v>
      </c>
      <c r="BD898" s="21">
        <f t="shared" si="888"/>
        <v>0</v>
      </c>
      <c r="BE898" s="21">
        <f t="shared" si="889"/>
        <v>0</v>
      </c>
      <c r="BF898" s="21" t="s">
        <v>2492</v>
      </c>
      <c r="BG898" s="41" t="s">
        <v>1439</v>
      </c>
    </row>
    <row r="899" spans="1:59" x14ac:dyDescent="0.3">
      <c r="A899" s="4" t="s">
        <v>857</v>
      </c>
      <c r="B899" s="13"/>
      <c r="C899" s="13" t="s">
        <v>1476</v>
      </c>
      <c r="D899" s="101" t="s">
        <v>1657</v>
      </c>
      <c r="E899" s="102"/>
      <c r="F899" s="13" t="s">
        <v>2386</v>
      </c>
      <c r="G899" s="21">
        <v>1</v>
      </c>
      <c r="H899" s="21">
        <v>0</v>
      </c>
      <c r="I899" s="21">
        <f t="shared" si="864"/>
        <v>0</v>
      </c>
      <c r="J899" s="21">
        <f t="shared" si="865"/>
        <v>0</v>
      </c>
      <c r="K899" s="21">
        <f t="shared" si="866"/>
        <v>0</v>
      </c>
      <c r="L899" s="21">
        <v>0</v>
      </c>
      <c r="M899" s="21">
        <f t="shared" si="867"/>
        <v>0</v>
      </c>
      <c r="N899" s="35"/>
      <c r="O899" s="39"/>
      <c r="U899" s="41">
        <f t="shared" si="868"/>
        <v>0</v>
      </c>
      <c r="W899" s="41">
        <f t="shared" si="869"/>
        <v>0</v>
      </c>
      <c r="X899" s="41">
        <f t="shared" si="870"/>
        <v>0</v>
      </c>
      <c r="Y899" s="41">
        <f t="shared" si="871"/>
        <v>0</v>
      </c>
      <c r="Z899" s="41">
        <f t="shared" si="872"/>
        <v>0</v>
      </c>
      <c r="AA899" s="41">
        <f t="shared" si="873"/>
        <v>0</v>
      </c>
      <c r="AB899" s="41">
        <f t="shared" si="874"/>
        <v>0</v>
      </c>
      <c r="AC899" s="41">
        <f t="shared" si="875"/>
        <v>0</v>
      </c>
      <c r="AD899" s="31"/>
      <c r="AE899" s="21">
        <f t="shared" si="876"/>
        <v>0</v>
      </c>
      <c r="AF899" s="21">
        <f t="shared" si="877"/>
        <v>0</v>
      </c>
      <c r="AG899" s="21">
        <f t="shared" si="878"/>
        <v>0</v>
      </c>
      <c r="AI899" s="41">
        <v>21</v>
      </c>
      <c r="AJ899" s="41">
        <f t="shared" si="879"/>
        <v>0</v>
      </c>
      <c r="AK899" s="41">
        <f t="shared" si="880"/>
        <v>0</v>
      </c>
      <c r="AL899" s="42" t="s">
        <v>8</v>
      </c>
      <c r="AQ899" s="41">
        <f t="shared" si="881"/>
        <v>0</v>
      </c>
      <c r="AR899" s="41">
        <f t="shared" si="882"/>
        <v>0</v>
      </c>
      <c r="AS899" s="41">
        <f t="shared" si="883"/>
        <v>0</v>
      </c>
      <c r="AT899" s="44" t="s">
        <v>2472</v>
      </c>
      <c r="AU899" s="44" t="s">
        <v>2485</v>
      </c>
      <c r="AV899" s="31" t="s">
        <v>2486</v>
      </c>
      <c r="AX899" s="41">
        <f t="shared" si="884"/>
        <v>0</v>
      </c>
      <c r="AY899" s="41">
        <f t="shared" si="885"/>
        <v>0</v>
      </c>
      <c r="AZ899" s="41">
        <v>0</v>
      </c>
      <c r="BA899" s="41">
        <f t="shared" si="886"/>
        <v>0</v>
      </c>
      <c r="BC899" s="21">
        <f t="shared" si="887"/>
        <v>0</v>
      </c>
      <c r="BD899" s="21">
        <f t="shared" si="888"/>
        <v>0</v>
      </c>
      <c r="BE899" s="21">
        <f t="shared" si="889"/>
        <v>0</v>
      </c>
      <c r="BF899" s="21" t="s">
        <v>2492</v>
      </c>
      <c r="BG899" s="41" t="s">
        <v>1439</v>
      </c>
    </row>
    <row r="900" spans="1:59" x14ac:dyDescent="0.3">
      <c r="A900" s="4" t="s">
        <v>858</v>
      </c>
      <c r="B900" s="13"/>
      <c r="C900" s="13" t="s">
        <v>1477</v>
      </c>
      <c r="D900" s="101" t="s">
        <v>1658</v>
      </c>
      <c r="E900" s="102"/>
      <c r="F900" s="13" t="s">
        <v>2386</v>
      </c>
      <c r="G900" s="21">
        <v>1</v>
      </c>
      <c r="H900" s="21">
        <v>0</v>
      </c>
      <c r="I900" s="21">
        <f t="shared" si="864"/>
        <v>0</v>
      </c>
      <c r="J900" s="21">
        <f t="shared" si="865"/>
        <v>0</v>
      </c>
      <c r="K900" s="21">
        <f t="shared" si="866"/>
        <v>0</v>
      </c>
      <c r="L900" s="21">
        <v>0</v>
      </c>
      <c r="M900" s="21">
        <f t="shared" si="867"/>
        <v>0</v>
      </c>
      <c r="N900" s="35"/>
      <c r="O900" s="39"/>
      <c r="U900" s="41">
        <f t="shared" si="868"/>
        <v>0</v>
      </c>
      <c r="W900" s="41">
        <f t="shared" si="869"/>
        <v>0</v>
      </c>
      <c r="X900" s="41">
        <f t="shared" si="870"/>
        <v>0</v>
      </c>
      <c r="Y900" s="41">
        <f t="shared" si="871"/>
        <v>0</v>
      </c>
      <c r="Z900" s="41">
        <f t="shared" si="872"/>
        <v>0</v>
      </c>
      <c r="AA900" s="41">
        <f t="shared" si="873"/>
        <v>0</v>
      </c>
      <c r="AB900" s="41">
        <f t="shared" si="874"/>
        <v>0</v>
      </c>
      <c r="AC900" s="41">
        <f t="shared" si="875"/>
        <v>0</v>
      </c>
      <c r="AD900" s="31"/>
      <c r="AE900" s="21">
        <f t="shared" si="876"/>
        <v>0</v>
      </c>
      <c r="AF900" s="21">
        <f t="shared" si="877"/>
        <v>0</v>
      </c>
      <c r="AG900" s="21">
        <f t="shared" si="878"/>
        <v>0</v>
      </c>
      <c r="AI900" s="41">
        <v>21</v>
      </c>
      <c r="AJ900" s="41">
        <f t="shared" si="879"/>
        <v>0</v>
      </c>
      <c r="AK900" s="41">
        <f t="shared" si="880"/>
        <v>0</v>
      </c>
      <c r="AL900" s="42" t="s">
        <v>8</v>
      </c>
      <c r="AQ900" s="41">
        <f t="shared" si="881"/>
        <v>0</v>
      </c>
      <c r="AR900" s="41">
        <f t="shared" si="882"/>
        <v>0</v>
      </c>
      <c r="AS900" s="41">
        <f t="shared" si="883"/>
        <v>0</v>
      </c>
      <c r="AT900" s="44" t="s">
        <v>2472</v>
      </c>
      <c r="AU900" s="44" t="s">
        <v>2485</v>
      </c>
      <c r="AV900" s="31" t="s">
        <v>2486</v>
      </c>
      <c r="AX900" s="41">
        <f t="shared" si="884"/>
        <v>0</v>
      </c>
      <c r="AY900" s="41">
        <f t="shared" si="885"/>
        <v>0</v>
      </c>
      <c r="AZ900" s="41">
        <v>0</v>
      </c>
      <c r="BA900" s="41">
        <f t="shared" si="886"/>
        <v>0</v>
      </c>
      <c r="BC900" s="21">
        <f t="shared" si="887"/>
        <v>0</v>
      </c>
      <c r="BD900" s="21">
        <f t="shared" si="888"/>
        <v>0</v>
      </c>
      <c r="BE900" s="21">
        <f t="shared" si="889"/>
        <v>0</v>
      </c>
      <c r="BF900" s="21" t="s">
        <v>2492</v>
      </c>
      <c r="BG900" s="41" t="s">
        <v>1439</v>
      </c>
    </row>
    <row r="901" spans="1:59" x14ac:dyDescent="0.3">
      <c r="A901" s="4" t="s">
        <v>859</v>
      </c>
      <c r="B901" s="13"/>
      <c r="C901" s="13" t="s">
        <v>1478</v>
      </c>
      <c r="D901" s="101" t="s">
        <v>1659</v>
      </c>
      <c r="E901" s="102"/>
      <c r="F901" s="13" t="s">
        <v>2386</v>
      </c>
      <c r="G901" s="21">
        <v>1</v>
      </c>
      <c r="H901" s="21">
        <v>0</v>
      </c>
      <c r="I901" s="21">
        <f t="shared" si="864"/>
        <v>0</v>
      </c>
      <c r="J901" s="21">
        <f t="shared" si="865"/>
        <v>0</v>
      </c>
      <c r="K901" s="21">
        <f t="shared" si="866"/>
        <v>0</v>
      </c>
      <c r="L901" s="21">
        <v>0</v>
      </c>
      <c r="M901" s="21">
        <f t="shared" si="867"/>
        <v>0</v>
      </c>
      <c r="N901" s="35"/>
      <c r="O901" s="39"/>
      <c r="U901" s="41">
        <f t="shared" si="868"/>
        <v>0</v>
      </c>
      <c r="W901" s="41">
        <f t="shared" si="869"/>
        <v>0</v>
      </c>
      <c r="X901" s="41">
        <f t="shared" si="870"/>
        <v>0</v>
      </c>
      <c r="Y901" s="41">
        <f t="shared" si="871"/>
        <v>0</v>
      </c>
      <c r="Z901" s="41">
        <f t="shared" si="872"/>
        <v>0</v>
      </c>
      <c r="AA901" s="41">
        <f t="shared" si="873"/>
        <v>0</v>
      </c>
      <c r="AB901" s="41">
        <f t="shared" si="874"/>
        <v>0</v>
      </c>
      <c r="AC901" s="41">
        <f t="shared" si="875"/>
        <v>0</v>
      </c>
      <c r="AD901" s="31"/>
      <c r="AE901" s="21">
        <f t="shared" si="876"/>
        <v>0</v>
      </c>
      <c r="AF901" s="21">
        <f t="shared" si="877"/>
        <v>0</v>
      </c>
      <c r="AG901" s="21">
        <f t="shared" si="878"/>
        <v>0</v>
      </c>
      <c r="AI901" s="41">
        <v>21</v>
      </c>
      <c r="AJ901" s="41">
        <f t="shared" si="879"/>
        <v>0</v>
      </c>
      <c r="AK901" s="41">
        <f t="shared" si="880"/>
        <v>0</v>
      </c>
      <c r="AL901" s="42" t="s">
        <v>8</v>
      </c>
      <c r="AQ901" s="41">
        <f t="shared" si="881"/>
        <v>0</v>
      </c>
      <c r="AR901" s="41">
        <f t="shared" si="882"/>
        <v>0</v>
      </c>
      <c r="AS901" s="41">
        <f t="shared" si="883"/>
        <v>0</v>
      </c>
      <c r="AT901" s="44" t="s">
        <v>2472</v>
      </c>
      <c r="AU901" s="44" t="s">
        <v>2485</v>
      </c>
      <c r="AV901" s="31" t="s">
        <v>2486</v>
      </c>
      <c r="AX901" s="41">
        <f t="shared" si="884"/>
        <v>0</v>
      </c>
      <c r="AY901" s="41">
        <f t="shared" si="885"/>
        <v>0</v>
      </c>
      <c r="AZ901" s="41">
        <v>0</v>
      </c>
      <c r="BA901" s="41">
        <f t="shared" si="886"/>
        <v>0</v>
      </c>
      <c r="BC901" s="21">
        <f t="shared" si="887"/>
        <v>0</v>
      </c>
      <c r="BD901" s="21">
        <f t="shared" si="888"/>
        <v>0</v>
      </c>
      <c r="BE901" s="21">
        <f t="shared" si="889"/>
        <v>0</v>
      </c>
      <c r="BF901" s="21" t="s">
        <v>2492</v>
      </c>
      <c r="BG901" s="41" t="s">
        <v>1439</v>
      </c>
    </row>
    <row r="902" spans="1:59" x14ac:dyDescent="0.3">
      <c r="A902" s="4" t="s">
        <v>860</v>
      </c>
      <c r="B902" s="13"/>
      <c r="C902" s="13" t="s">
        <v>1479</v>
      </c>
      <c r="D902" s="101" t="s">
        <v>1660</v>
      </c>
      <c r="E902" s="102"/>
      <c r="F902" s="13" t="s">
        <v>2386</v>
      </c>
      <c r="G902" s="21">
        <v>1</v>
      </c>
      <c r="H902" s="21">
        <v>0</v>
      </c>
      <c r="I902" s="21">
        <f t="shared" si="864"/>
        <v>0</v>
      </c>
      <c r="J902" s="21">
        <f t="shared" si="865"/>
        <v>0</v>
      </c>
      <c r="K902" s="21">
        <f t="shared" si="866"/>
        <v>0</v>
      </c>
      <c r="L902" s="21">
        <v>0</v>
      </c>
      <c r="M902" s="21">
        <f t="shared" si="867"/>
        <v>0</v>
      </c>
      <c r="N902" s="35"/>
      <c r="O902" s="39"/>
      <c r="U902" s="41">
        <f t="shared" si="868"/>
        <v>0</v>
      </c>
      <c r="W902" s="41">
        <f t="shared" si="869"/>
        <v>0</v>
      </c>
      <c r="X902" s="41">
        <f t="shared" si="870"/>
        <v>0</v>
      </c>
      <c r="Y902" s="41">
        <f t="shared" si="871"/>
        <v>0</v>
      </c>
      <c r="Z902" s="41">
        <f t="shared" si="872"/>
        <v>0</v>
      </c>
      <c r="AA902" s="41">
        <f t="shared" si="873"/>
        <v>0</v>
      </c>
      <c r="AB902" s="41">
        <f t="shared" si="874"/>
        <v>0</v>
      </c>
      <c r="AC902" s="41">
        <f t="shared" si="875"/>
        <v>0</v>
      </c>
      <c r="AD902" s="31"/>
      <c r="AE902" s="21">
        <f t="shared" si="876"/>
        <v>0</v>
      </c>
      <c r="AF902" s="21">
        <f t="shared" si="877"/>
        <v>0</v>
      </c>
      <c r="AG902" s="21">
        <f t="shared" si="878"/>
        <v>0</v>
      </c>
      <c r="AI902" s="41">
        <v>21</v>
      </c>
      <c r="AJ902" s="41">
        <f t="shared" si="879"/>
        <v>0</v>
      </c>
      <c r="AK902" s="41">
        <f t="shared" si="880"/>
        <v>0</v>
      </c>
      <c r="AL902" s="42" t="s">
        <v>8</v>
      </c>
      <c r="AQ902" s="41">
        <f t="shared" si="881"/>
        <v>0</v>
      </c>
      <c r="AR902" s="41">
        <f t="shared" si="882"/>
        <v>0</v>
      </c>
      <c r="AS902" s="41">
        <f t="shared" si="883"/>
        <v>0</v>
      </c>
      <c r="AT902" s="44" t="s">
        <v>2472</v>
      </c>
      <c r="AU902" s="44" t="s">
        <v>2485</v>
      </c>
      <c r="AV902" s="31" t="s">
        <v>2486</v>
      </c>
      <c r="AX902" s="41">
        <f t="shared" si="884"/>
        <v>0</v>
      </c>
      <c r="AY902" s="41">
        <f t="shared" si="885"/>
        <v>0</v>
      </c>
      <c r="AZ902" s="41">
        <v>0</v>
      </c>
      <c r="BA902" s="41">
        <f t="shared" si="886"/>
        <v>0</v>
      </c>
      <c r="BC902" s="21">
        <f t="shared" si="887"/>
        <v>0</v>
      </c>
      <c r="BD902" s="21">
        <f t="shared" si="888"/>
        <v>0</v>
      </c>
      <c r="BE902" s="21">
        <f t="shared" si="889"/>
        <v>0</v>
      </c>
      <c r="BF902" s="21" t="s">
        <v>2492</v>
      </c>
      <c r="BG902" s="41" t="s">
        <v>1439</v>
      </c>
    </row>
    <row r="903" spans="1:59" x14ac:dyDescent="0.3">
      <c r="A903" s="4" t="s">
        <v>861</v>
      </c>
      <c r="B903" s="13"/>
      <c r="C903" s="13" t="s">
        <v>1480</v>
      </c>
      <c r="D903" s="101" t="s">
        <v>1661</v>
      </c>
      <c r="E903" s="102"/>
      <c r="F903" s="13" t="s">
        <v>2386</v>
      </c>
      <c r="G903" s="21">
        <v>1</v>
      </c>
      <c r="H903" s="21">
        <v>0</v>
      </c>
      <c r="I903" s="21">
        <f t="shared" si="864"/>
        <v>0</v>
      </c>
      <c r="J903" s="21">
        <f t="shared" si="865"/>
        <v>0</v>
      </c>
      <c r="K903" s="21">
        <f t="shared" si="866"/>
        <v>0</v>
      </c>
      <c r="L903" s="21">
        <v>0</v>
      </c>
      <c r="M903" s="21">
        <f t="shared" si="867"/>
        <v>0</v>
      </c>
      <c r="N903" s="35"/>
      <c r="O903" s="39"/>
      <c r="U903" s="41">
        <f t="shared" si="868"/>
        <v>0</v>
      </c>
      <c r="W903" s="41">
        <f t="shared" si="869"/>
        <v>0</v>
      </c>
      <c r="X903" s="41">
        <f t="shared" si="870"/>
        <v>0</v>
      </c>
      <c r="Y903" s="41">
        <f t="shared" si="871"/>
        <v>0</v>
      </c>
      <c r="Z903" s="41">
        <f t="shared" si="872"/>
        <v>0</v>
      </c>
      <c r="AA903" s="41">
        <f t="shared" si="873"/>
        <v>0</v>
      </c>
      <c r="AB903" s="41">
        <f t="shared" si="874"/>
        <v>0</v>
      </c>
      <c r="AC903" s="41">
        <f t="shared" si="875"/>
        <v>0</v>
      </c>
      <c r="AD903" s="31"/>
      <c r="AE903" s="21">
        <f t="shared" si="876"/>
        <v>0</v>
      </c>
      <c r="AF903" s="21">
        <f t="shared" si="877"/>
        <v>0</v>
      </c>
      <c r="AG903" s="21">
        <f t="shared" si="878"/>
        <v>0</v>
      </c>
      <c r="AI903" s="41">
        <v>21</v>
      </c>
      <c r="AJ903" s="41">
        <f t="shared" si="879"/>
        <v>0</v>
      </c>
      <c r="AK903" s="41">
        <f t="shared" si="880"/>
        <v>0</v>
      </c>
      <c r="AL903" s="42" t="s">
        <v>8</v>
      </c>
      <c r="AQ903" s="41">
        <f t="shared" si="881"/>
        <v>0</v>
      </c>
      <c r="AR903" s="41">
        <f t="shared" si="882"/>
        <v>0</v>
      </c>
      <c r="AS903" s="41">
        <f t="shared" si="883"/>
        <v>0</v>
      </c>
      <c r="AT903" s="44" t="s">
        <v>2472</v>
      </c>
      <c r="AU903" s="44" t="s">
        <v>2485</v>
      </c>
      <c r="AV903" s="31" t="s">
        <v>2486</v>
      </c>
      <c r="AX903" s="41">
        <f t="shared" si="884"/>
        <v>0</v>
      </c>
      <c r="AY903" s="41">
        <f t="shared" si="885"/>
        <v>0</v>
      </c>
      <c r="AZ903" s="41">
        <v>0</v>
      </c>
      <c r="BA903" s="41">
        <f t="shared" si="886"/>
        <v>0</v>
      </c>
      <c r="BC903" s="21">
        <f t="shared" si="887"/>
        <v>0</v>
      </c>
      <c r="BD903" s="21">
        <f t="shared" si="888"/>
        <v>0</v>
      </c>
      <c r="BE903" s="21">
        <f t="shared" si="889"/>
        <v>0</v>
      </c>
      <c r="BF903" s="21" t="s">
        <v>2492</v>
      </c>
      <c r="BG903" s="41" t="s">
        <v>1439</v>
      </c>
    </row>
    <row r="904" spans="1:59" x14ac:dyDescent="0.3">
      <c r="A904" s="4" t="s">
        <v>862</v>
      </c>
      <c r="B904" s="13"/>
      <c r="C904" s="13" t="s">
        <v>1481</v>
      </c>
      <c r="D904" s="101" t="s">
        <v>1662</v>
      </c>
      <c r="E904" s="102"/>
      <c r="F904" s="13" t="s">
        <v>2386</v>
      </c>
      <c r="G904" s="21">
        <v>1</v>
      </c>
      <c r="H904" s="21">
        <v>0</v>
      </c>
      <c r="I904" s="21">
        <f t="shared" si="864"/>
        <v>0</v>
      </c>
      <c r="J904" s="21">
        <f t="shared" si="865"/>
        <v>0</v>
      </c>
      <c r="K904" s="21">
        <f t="shared" si="866"/>
        <v>0</v>
      </c>
      <c r="L904" s="21">
        <v>0</v>
      </c>
      <c r="M904" s="21">
        <f t="shared" si="867"/>
        <v>0</v>
      </c>
      <c r="N904" s="35"/>
      <c r="O904" s="39"/>
      <c r="U904" s="41">
        <f t="shared" si="868"/>
        <v>0</v>
      </c>
      <c r="W904" s="41">
        <f t="shared" si="869"/>
        <v>0</v>
      </c>
      <c r="X904" s="41">
        <f t="shared" si="870"/>
        <v>0</v>
      </c>
      <c r="Y904" s="41">
        <f t="shared" si="871"/>
        <v>0</v>
      </c>
      <c r="Z904" s="41">
        <f t="shared" si="872"/>
        <v>0</v>
      </c>
      <c r="AA904" s="41">
        <f t="shared" si="873"/>
        <v>0</v>
      </c>
      <c r="AB904" s="41">
        <f t="shared" si="874"/>
        <v>0</v>
      </c>
      <c r="AC904" s="41">
        <f t="shared" si="875"/>
        <v>0</v>
      </c>
      <c r="AD904" s="31"/>
      <c r="AE904" s="21">
        <f t="shared" si="876"/>
        <v>0</v>
      </c>
      <c r="AF904" s="21">
        <f t="shared" si="877"/>
        <v>0</v>
      </c>
      <c r="AG904" s="21">
        <f t="shared" si="878"/>
        <v>0</v>
      </c>
      <c r="AI904" s="41">
        <v>21</v>
      </c>
      <c r="AJ904" s="41">
        <f t="shared" si="879"/>
        <v>0</v>
      </c>
      <c r="AK904" s="41">
        <f t="shared" si="880"/>
        <v>0</v>
      </c>
      <c r="AL904" s="42" t="s">
        <v>8</v>
      </c>
      <c r="AQ904" s="41">
        <f t="shared" si="881"/>
        <v>0</v>
      </c>
      <c r="AR904" s="41">
        <f t="shared" si="882"/>
        <v>0</v>
      </c>
      <c r="AS904" s="41">
        <f t="shared" si="883"/>
        <v>0</v>
      </c>
      <c r="AT904" s="44" t="s">
        <v>2472</v>
      </c>
      <c r="AU904" s="44" t="s">
        <v>2485</v>
      </c>
      <c r="AV904" s="31" t="s">
        <v>2486</v>
      </c>
      <c r="AX904" s="41">
        <f t="shared" si="884"/>
        <v>0</v>
      </c>
      <c r="AY904" s="41">
        <f t="shared" si="885"/>
        <v>0</v>
      </c>
      <c r="AZ904" s="41">
        <v>0</v>
      </c>
      <c r="BA904" s="41">
        <f t="shared" si="886"/>
        <v>0</v>
      </c>
      <c r="BC904" s="21">
        <f t="shared" si="887"/>
        <v>0</v>
      </c>
      <c r="BD904" s="21">
        <f t="shared" si="888"/>
        <v>0</v>
      </c>
      <c r="BE904" s="21">
        <f t="shared" si="889"/>
        <v>0</v>
      </c>
      <c r="BF904" s="21" t="s">
        <v>2492</v>
      </c>
      <c r="BG904" s="41" t="s">
        <v>1439</v>
      </c>
    </row>
    <row r="905" spans="1:59" x14ac:dyDescent="0.3">
      <c r="A905" s="4" t="s">
        <v>863</v>
      </c>
      <c r="B905" s="13"/>
      <c r="C905" s="13" t="s">
        <v>1482</v>
      </c>
      <c r="D905" s="101" t="s">
        <v>1663</v>
      </c>
      <c r="E905" s="102"/>
      <c r="F905" s="13" t="s">
        <v>2386</v>
      </c>
      <c r="G905" s="21">
        <v>1</v>
      </c>
      <c r="H905" s="21">
        <v>0</v>
      </c>
      <c r="I905" s="21">
        <f t="shared" si="864"/>
        <v>0</v>
      </c>
      <c r="J905" s="21">
        <f t="shared" si="865"/>
        <v>0</v>
      </c>
      <c r="K905" s="21">
        <f t="shared" si="866"/>
        <v>0</v>
      </c>
      <c r="L905" s="21">
        <v>0</v>
      </c>
      <c r="M905" s="21">
        <f t="shared" si="867"/>
        <v>0</v>
      </c>
      <c r="N905" s="35"/>
      <c r="O905" s="39"/>
      <c r="U905" s="41">
        <f t="shared" si="868"/>
        <v>0</v>
      </c>
      <c r="W905" s="41">
        <f t="shared" si="869"/>
        <v>0</v>
      </c>
      <c r="X905" s="41">
        <f t="shared" si="870"/>
        <v>0</v>
      </c>
      <c r="Y905" s="41">
        <f t="shared" si="871"/>
        <v>0</v>
      </c>
      <c r="Z905" s="41">
        <f t="shared" si="872"/>
        <v>0</v>
      </c>
      <c r="AA905" s="41">
        <f t="shared" si="873"/>
        <v>0</v>
      </c>
      <c r="AB905" s="41">
        <f t="shared" si="874"/>
        <v>0</v>
      </c>
      <c r="AC905" s="41">
        <f t="shared" si="875"/>
        <v>0</v>
      </c>
      <c r="AD905" s="31"/>
      <c r="AE905" s="21">
        <f t="shared" si="876"/>
        <v>0</v>
      </c>
      <c r="AF905" s="21">
        <f t="shared" si="877"/>
        <v>0</v>
      </c>
      <c r="AG905" s="21">
        <f t="shared" si="878"/>
        <v>0</v>
      </c>
      <c r="AI905" s="41">
        <v>21</v>
      </c>
      <c r="AJ905" s="41">
        <f t="shared" si="879"/>
        <v>0</v>
      </c>
      <c r="AK905" s="41">
        <f t="shared" si="880"/>
        <v>0</v>
      </c>
      <c r="AL905" s="42" t="s">
        <v>8</v>
      </c>
      <c r="AQ905" s="41">
        <f t="shared" si="881"/>
        <v>0</v>
      </c>
      <c r="AR905" s="41">
        <f t="shared" si="882"/>
        <v>0</v>
      </c>
      <c r="AS905" s="41">
        <f t="shared" si="883"/>
        <v>0</v>
      </c>
      <c r="AT905" s="44" t="s">
        <v>2472</v>
      </c>
      <c r="AU905" s="44" t="s">
        <v>2485</v>
      </c>
      <c r="AV905" s="31" t="s">
        <v>2486</v>
      </c>
      <c r="AX905" s="41">
        <f t="shared" si="884"/>
        <v>0</v>
      </c>
      <c r="AY905" s="41">
        <f t="shared" si="885"/>
        <v>0</v>
      </c>
      <c r="AZ905" s="41">
        <v>0</v>
      </c>
      <c r="BA905" s="41">
        <f t="shared" si="886"/>
        <v>0</v>
      </c>
      <c r="BC905" s="21">
        <f t="shared" si="887"/>
        <v>0</v>
      </c>
      <c r="BD905" s="21">
        <f t="shared" si="888"/>
        <v>0</v>
      </c>
      <c r="BE905" s="21">
        <f t="shared" si="889"/>
        <v>0</v>
      </c>
      <c r="BF905" s="21" t="s">
        <v>2492</v>
      </c>
      <c r="BG905" s="41" t="s">
        <v>1439</v>
      </c>
    </row>
    <row r="906" spans="1:59" x14ac:dyDescent="0.3">
      <c r="A906" s="4" t="s">
        <v>864</v>
      </c>
      <c r="B906" s="13"/>
      <c r="C906" s="13" t="s">
        <v>1483</v>
      </c>
      <c r="D906" s="101" t="s">
        <v>1664</v>
      </c>
      <c r="E906" s="102"/>
      <c r="F906" s="13" t="s">
        <v>2386</v>
      </c>
      <c r="G906" s="21">
        <v>1</v>
      </c>
      <c r="H906" s="21">
        <v>0</v>
      </c>
      <c r="I906" s="21">
        <f t="shared" si="864"/>
        <v>0</v>
      </c>
      <c r="J906" s="21">
        <f t="shared" si="865"/>
        <v>0</v>
      </c>
      <c r="K906" s="21">
        <f t="shared" si="866"/>
        <v>0</v>
      </c>
      <c r="L906" s="21">
        <v>0</v>
      </c>
      <c r="M906" s="21">
        <f t="shared" si="867"/>
        <v>0</v>
      </c>
      <c r="N906" s="35"/>
      <c r="O906" s="39"/>
      <c r="U906" s="41">
        <f t="shared" si="868"/>
        <v>0</v>
      </c>
      <c r="W906" s="41">
        <f t="shared" si="869"/>
        <v>0</v>
      </c>
      <c r="X906" s="41">
        <f t="shared" si="870"/>
        <v>0</v>
      </c>
      <c r="Y906" s="41">
        <f t="shared" si="871"/>
        <v>0</v>
      </c>
      <c r="Z906" s="41">
        <f t="shared" si="872"/>
        <v>0</v>
      </c>
      <c r="AA906" s="41">
        <f t="shared" si="873"/>
        <v>0</v>
      </c>
      <c r="AB906" s="41">
        <f t="shared" si="874"/>
        <v>0</v>
      </c>
      <c r="AC906" s="41">
        <f t="shared" si="875"/>
        <v>0</v>
      </c>
      <c r="AD906" s="31"/>
      <c r="AE906" s="21">
        <f t="shared" si="876"/>
        <v>0</v>
      </c>
      <c r="AF906" s="21">
        <f t="shared" si="877"/>
        <v>0</v>
      </c>
      <c r="AG906" s="21">
        <f t="shared" si="878"/>
        <v>0</v>
      </c>
      <c r="AI906" s="41">
        <v>21</v>
      </c>
      <c r="AJ906" s="41">
        <f t="shared" si="879"/>
        <v>0</v>
      </c>
      <c r="AK906" s="41">
        <f t="shared" si="880"/>
        <v>0</v>
      </c>
      <c r="AL906" s="42" t="s">
        <v>8</v>
      </c>
      <c r="AQ906" s="41">
        <f t="shared" si="881"/>
        <v>0</v>
      </c>
      <c r="AR906" s="41">
        <f t="shared" si="882"/>
        <v>0</v>
      </c>
      <c r="AS906" s="41">
        <f t="shared" si="883"/>
        <v>0</v>
      </c>
      <c r="AT906" s="44" t="s">
        <v>2472</v>
      </c>
      <c r="AU906" s="44" t="s">
        <v>2485</v>
      </c>
      <c r="AV906" s="31" t="s">
        <v>2486</v>
      </c>
      <c r="AX906" s="41">
        <f t="shared" si="884"/>
        <v>0</v>
      </c>
      <c r="AY906" s="41">
        <f t="shared" si="885"/>
        <v>0</v>
      </c>
      <c r="AZ906" s="41">
        <v>0</v>
      </c>
      <c r="BA906" s="41">
        <f t="shared" si="886"/>
        <v>0</v>
      </c>
      <c r="BC906" s="21">
        <f t="shared" si="887"/>
        <v>0</v>
      </c>
      <c r="BD906" s="21">
        <f t="shared" si="888"/>
        <v>0</v>
      </c>
      <c r="BE906" s="21">
        <f t="shared" si="889"/>
        <v>0</v>
      </c>
      <c r="BF906" s="21" t="s">
        <v>2492</v>
      </c>
      <c r="BG906" s="41" t="s">
        <v>1439</v>
      </c>
    </row>
    <row r="907" spans="1:59" x14ac:dyDescent="0.3">
      <c r="A907" s="4" t="s">
        <v>865</v>
      </c>
      <c r="B907" s="13"/>
      <c r="C907" s="13" t="s">
        <v>1484</v>
      </c>
      <c r="D907" s="101" t="s">
        <v>1665</v>
      </c>
      <c r="E907" s="102"/>
      <c r="F907" s="13" t="s">
        <v>2386</v>
      </c>
      <c r="G907" s="21">
        <v>1</v>
      </c>
      <c r="H907" s="21">
        <v>0</v>
      </c>
      <c r="I907" s="21">
        <f t="shared" si="864"/>
        <v>0</v>
      </c>
      <c r="J907" s="21">
        <f t="shared" si="865"/>
        <v>0</v>
      </c>
      <c r="K907" s="21">
        <f t="shared" si="866"/>
        <v>0</v>
      </c>
      <c r="L907" s="21">
        <v>0</v>
      </c>
      <c r="M907" s="21">
        <f t="shared" si="867"/>
        <v>0</v>
      </c>
      <c r="N907" s="35"/>
      <c r="O907" s="39"/>
      <c r="U907" s="41">
        <f t="shared" si="868"/>
        <v>0</v>
      </c>
      <c r="W907" s="41">
        <f t="shared" si="869"/>
        <v>0</v>
      </c>
      <c r="X907" s="41">
        <f t="shared" si="870"/>
        <v>0</v>
      </c>
      <c r="Y907" s="41">
        <f t="shared" si="871"/>
        <v>0</v>
      </c>
      <c r="Z907" s="41">
        <f t="shared" si="872"/>
        <v>0</v>
      </c>
      <c r="AA907" s="41">
        <f t="shared" si="873"/>
        <v>0</v>
      </c>
      <c r="AB907" s="41">
        <f t="shared" si="874"/>
        <v>0</v>
      </c>
      <c r="AC907" s="41">
        <f t="shared" si="875"/>
        <v>0</v>
      </c>
      <c r="AD907" s="31"/>
      <c r="AE907" s="21">
        <f t="shared" si="876"/>
        <v>0</v>
      </c>
      <c r="AF907" s="21">
        <f t="shared" si="877"/>
        <v>0</v>
      </c>
      <c r="AG907" s="21">
        <f t="shared" si="878"/>
        <v>0</v>
      </c>
      <c r="AI907" s="41">
        <v>21</v>
      </c>
      <c r="AJ907" s="41">
        <f t="shared" si="879"/>
        <v>0</v>
      </c>
      <c r="AK907" s="41">
        <f t="shared" si="880"/>
        <v>0</v>
      </c>
      <c r="AL907" s="42" t="s">
        <v>8</v>
      </c>
      <c r="AQ907" s="41">
        <f t="shared" si="881"/>
        <v>0</v>
      </c>
      <c r="AR907" s="41">
        <f t="shared" si="882"/>
        <v>0</v>
      </c>
      <c r="AS907" s="41">
        <f t="shared" si="883"/>
        <v>0</v>
      </c>
      <c r="AT907" s="44" t="s">
        <v>2472</v>
      </c>
      <c r="AU907" s="44" t="s">
        <v>2485</v>
      </c>
      <c r="AV907" s="31" t="s">
        <v>2486</v>
      </c>
      <c r="AX907" s="41">
        <f t="shared" si="884"/>
        <v>0</v>
      </c>
      <c r="AY907" s="41">
        <f t="shared" si="885"/>
        <v>0</v>
      </c>
      <c r="AZ907" s="41">
        <v>0</v>
      </c>
      <c r="BA907" s="41">
        <f t="shared" si="886"/>
        <v>0</v>
      </c>
      <c r="BC907" s="21">
        <f t="shared" si="887"/>
        <v>0</v>
      </c>
      <c r="BD907" s="21">
        <f t="shared" si="888"/>
        <v>0</v>
      </c>
      <c r="BE907" s="21">
        <f t="shared" si="889"/>
        <v>0</v>
      </c>
      <c r="BF907" s="21" t="s">
        <v>2492</v>
      </c>
      <c r="BG907" s="41" t="s">
        <v>1439</v>
      </c>
    </row>
    <row r="908" spans="1:59" x14ac:dyDescent="0.3">
      <c r="A908" s="4" t="s">
        <v>866</v>
      </c>
      <c r="B908" s="13"/>
      <c r="C908" s="13" t="s">
        <v>1485</v>
      </c>
      <c r="D908" s="101" t="s">
        <v>1666</v>
      </c>
      <c r="E908" s="102"/>
      <c r="F908" s="13" t="s">
        <v>2386</v>
      </c>
      <c r="G908" s="21">
        <v>1</v>
      </c>
      <c r="H908" s="21">
        <v>0</v>
      </c>
      <c r="I908" s="21">
        <f t="shared" si="864"/>
        <v>0</v>
      </c>
      <c r="J908" s="21">
        <f t="shared" si="865"/>
        <v>0</v>
      </c>
      <c r="K908" s="21">
        <f t="shared" si="866"/>
        <v>0</v>
      </c>
      <c r="L908" s="21">
        <v>0</v>
      </c>
      <c r="M908" s="21">
        <f t="shared" si="867"/>
        <v>0</v>
      </c>
      <c r="N908" s="35"/>
      <c r="O908" s="39"/>
      <c r="U908" s="41">
        <f t="shared" si="868"/>
        <v>0</v>
      </c>
      <c r="W908" s="41">
        <f t="shared" si="869"/>
        <v>0</v>
      </c>
      <c r="X908" s="41">
        <f t="shared" si="870"/>
        <v>0</v>
      </c>
      <c r="Y908" s="41">
        <f t="shared" si="871"/>
        <v>0</v>
      </c>
      <c r="Z908" s="41">
        <f t="shared" si="872"/>
        <v>0</v>
      </c>
      <c r="AA908" s="41">
        <f t="shared" si="873"/>
        <v>0</v>
      </c>
      <c r="AB908" s="41">
        <f t="shared" si="874"/>
        <v>0</v>
      </c>
      <c r="AC908" s="41">
        <f t="shared" si="875"/>
        <v>0</v>
      </c>
      <c r="AD908" s="31"/>
      <c r="AE908" s="21">
        <f t="shared" si="876"/>
        <v>0</v>
      </c>
      <c r="AF908" s="21">
        <f t="shared" si="877"/>
        <v>0</v>
      </c>
      <c r="AG908" s="21">
        <f t="shared" si="878"/>
        <v>0</v>
      </c>
      <c r="AI908" s="41">
        <v>21</v>
      </c>
      <c r="AJ908" s="41">
        <f t="shared" si="879"/>
        <v>0</v>
      </c>
      <c r="AK908" s="41">
        <f t="shared" si="880"/>
        <v>0</v>
      </c>
      <c r="AL908" s="42" t="s">
        <v>8</v>
      </c>
      <c r="AQ908" s="41">
        <f t="shared" si="881"/>
        <v>0</v>
      </c>
      <c r="AR908" s="41">
        <f t="shared" si="882"/>
        <v>0</v>
      </c>
      <c r="AS908" s="41">
        <f t="shared" si="883"/>
        <v>0</v>
      </c>
      <c r="AT908" s="44" t="s">
        <v>2472</v>
      </c>
      <c r="AU908" s="44" t="s">
        <v>2485</v>
      </c>
      <c r="AV908" s="31" t="s">
        <v>2486</v>
      </c>
      <c r="AX908" s="41">
        <f t="shared" si="884"/>
        <v>0</v>
      </c>
      <c r="AY908" s="41">
        <f t="shared" si="885"/>
        <v>0</v>
      </c>
      <c r="AZ908" s="41">
        <v>0</v>
      </c>
      <c r="BA908" s="41">
        <f t="shared" si="886"/>
        <v>0</v>
      </c>
      <c r="BC908" s="21">
        <f t="shared" si="887"/>
        <v>0</v>
      </c>
      <c r="BD908" s="21">
        <f t="shared" si="888"/>
        <v>0</v>
      </c>
      <c r="BE908" s="21">
        <f t="shared" si="889"/>
        <v>0</v>
      </c>
      <c r="BF908" s="21" t="s">
        <v>2492</v>
      </c>
      <c r="BG908" s="41" t="s">
        <v>1439</v>
      </c>
    </row>
    <row r="909" spans="1:59" x14ac:dyDescent="0.3">
      <c r="A909" s="4" t="s">
        <v>867</v>
      </c>
      <c r="B909" s="13"/>
      <c r="C909" s="13" t="s">
        <v>1486</v>
      </c>
      <c r="D909" s="101" t="s">
        <v>1667</v>
      </c>
      <c r="E909" s="102"/>
      <c r="F909" s="13" t="s">
        <v>2386</v>
      </c>
      <c r="G909" s="21">
        <v>1</v>
      </c>
      <c r="H909" s="21">
        <v>0</v>
      </c>
      <c r="I909" s="21">
        <f t="shared" si="864"/>
        <v>0</v>
      </c>
      <c r="J909" s="21">
        <f t="shared" si="865"/>
        <v>0</v>
      </c>
      <c r="K909" s="21">
        <f t="shared" si="866"/>
        <v>0</v>
      </c>
      <c r="L909" s="21">
        <v>0</v>
      </c>
      <c r="M909" s="21">
        <f t="shared" si="867"/>
        <v>0</v>
      </c>
      <c r="N909" s="35"/>
      <c r="O909" s="39"/>
      <c r="U909" s="41">
        <f t="shared" si="868"/>
        <v>0</v>
      </c>
      <c r="W909" s="41">
        <f t="shared" si="869"/>
        <v>0</v>
      </c>
      <c r="X909" s="41">
        <f t="shared" si="870"/>
        <v>0</v>
      </c>
      <c r="Y909" s="41">
        <f t="shared" si="871"/>
        <v>0</v>
      </c>
      <c r="Z909" s="41">
        <f t="shared" si="872"/>
        <v>0</v>
      </c>
      <c r="AA909" s="41">
        <f t="shared" si="873"/>
        <v>0</v>
      </c>
      <c r="AB909" s="41">
        <f t="shared" si="874"/>
        <v>0</v>
      </c>
      <c r="AC909" s="41">
        <f t="shared" si="875"/>
        <v>0</v>
      </c>
      <c r="AD909" s="31"/>
      <c r="AE909" s="21">
        <f t="shared" si="876"/>
        <v>0</v>
      </c>
      <c r="AF909" s="21">
        <f t="shared" si="877"/>
        <v>0</v>
      </c>
      <c r="AG909" s="21">
        <f t="shared" si="878"/>
        <v>0</v>
      </c>
      <c r="AI909" s="41">
        <v>21</v>
      </c>
      <c r="AJ909" s="41">
        <f t="shared" si="879"/>
        <v>0</v>
      </c>
      <c r="AK909" s="41">
        <f t="shared" si="880"/>
        <v>0</v>
      </c>
      <c r="AL909" s="42" t="s">
        <v>8</v>
      </c>
      <c r="AQ909" s="41">
        <f t="shared" si="881"/>
        <v>0</v>
      </c>
      <c r="AR909" s="41">
        <f t="shared" si="882"/>
        <v>0</v>
      </c>
      <c r="AS909" s="41">
        <f t="shared" si="883"/>
        <v>0</v>
      </c>
      <c r="AT909" s="44" t="s">
        <v>2472</v>
      </c>
      <c r="AU909" s="44" t="s">
        <v>2485</v>
      </c>
      <c r="AV909" s="31" t="s">
        <v>2486</v>
      </c>
      <c r="AX909" s="41">
        <f t="shared" si="884"/>
        <v>0</v>
      </c>
      <c r="AY909" s="41">
        <f t="shared" si="885"/>
        <v>0</v>
      </c>
      <c r="AZ909" s="41">
        <v>0</v>
      </c>
      <c r="BA909" s="41">
        <f t="shared" si="886"/>
        <v>0</v>
      </c>
      <c r="BC909" s="21">
        <f t="shared" si="887"/>
        <v>0</v>
      </c>
      <c r="BD909" s="21">
        <f t="shared" si="888"/>
        <v>0</v>
      </c>
      <c r="BE909" s="21">
        <f t="shared" si="889"/>
        <v>0</v>
      </c>
      <c r="BF909" s="21" t="s">
        <v>2492</v>
      </c>
      <c r="BG909" s="41" t="s">
        <v>1439</v>
      </c>
    </row>
    <row r="910" spans="1:59" x14ac:dyDescent="0.3">
      <c r="A910" s="4" t="s">
        <v>868</v>
      </c>
      <c r="B910" s="13"/>
      <c r="C910" s="13" t="s">
        <v>1487</v>
      </c>
      <c r="D910" s="101" t="s">
        <v>1668</v>
      </c>
      <c r="E910" s="102"/>
      <c r="F910" s="13" t="s">
        <v>2386</v>
      </c>
      <c r="G910" s="21">
        <v>1</v>
      </c>
      <c r="H910" s="21">
        <v>0</v>
      </c>
      <c r="I910" s="21">
        <f t="shared" si="864"/>
        <v>0</v>
      </c>
      <c r="J910" s="21">
        <f t="shared" si="865"/>
        <v>0</v>
      </c>
      <c r="K910" s="21">
        <f t="shared" si="866"/>
        <v>0</v>
      </c>
      <c r="L910" s="21">
        <v>0</v>
      </c>
      <c r="M910" s="21">
        <f t="shared" si="867"/>
        <v>0</v>
      </c>
      <c r="N910" s="35"/>
      <c r="O910" s="39"/>
      <c r="U910" s="41">
        <f t="shared" si="868"/>
        <v>0</v>
      </c>
      <c r="W910" s="41">
        <f t="shared" si="869"/>
        <v>0</v>
      </c>
      <c r="X910" s="41">
        <f t="shared" si="870"/>
        <v>0</v>
      </c>
      <c r="Y910" s="41">
        <f t="shared" si="871"/>
        <v>0</v>
      </c>
      <c r="Z910" s="41">
        <f t="shared" si="872"/>
        <v>0</v>
      </c>
      <c r="AA910" s="41">
        <f t="shared" si="873"/>
        <v>0</v>
      </c>
      <c r="AB910" s="41">
        <f t="shared" si="874"/>
        <v>0</v>
      </c>
      <c r="AC910" s="41">
        <f t="shared" si="875"/>
        <v>0</v>
      </c>
      <c r="AD910" s="31"/>
      <c r="AE910" s="21">
        <f t="shared" si="876"/>
        <v>0</v>
      </c>
      <c r="AF910" s="21">
        <f t="shared" si="877"/>
        <v>0</v>
      </c>
      <c r="AG910" s="21">
        <f t="shared" si="878"/>
        <v>0</v>
      </c>
      <c r="AI910" s="41">
        <v>21</v>
      </c>
      <c r="AJ910" s="41">
        <f t="shared" si="879"/>
        <v>0</v>
      </c>
      <c r="AK910" s="41">
        <f t="shared" si="880"/>
        <v>0</v>
      </c>
      <c r="AL910" s="42" t="s">
        <v>8</v>
      </c>
      <c r="AQ910" s="41">
        <f t="shared" si="881"/>
        <v>0</v>
      </c>
      <c r="AR910" s="41">
        <f t="shared" si="882"/>
        <v>0</v>
      </c>
      <c r="AS910" s="41">
        <f t="shared" si="883"/>
        <v>0</v>
      </c>
      <c r="AT910" s="44" t="s">
        <v>2472</v>
      </c>
      <c r="AU910" s="44" t="s">
        <v>2485</v>
      </c>
      <c r="AV910" s="31" t="s">
        <v>2486</v>
      </c>
      <c r="AX910" s="41">
        <f t="shared" si="884"/>
        <v>0</v>
      </c>
      <c r="AY910" s="41">
        <f t="shared" si="885"/>
        <v>0</v>
      </c>
      <c r="AZ910" s="41">
        <v>0</v>
      </c>
      <c r="BA910" s="41">
        <f t="shared" si="886"/>
        <v>0</v>
      </c>
      <c r="BC910" s="21">
        <f t="shared" si="887"/>
        <v>0</v>
      </c>
      <c r="BD910" s="21">
        <f t="shared" si="888"/>
        <v>0</v>
      </c>
      <c r="BE910" s="21">
        <f t="shared" si="889"/>
        <v>0</v>
      </c>
      <c r="BF910" s="21" t="s">
        <v>2492</v>
      </c>
      <c r="BG910" s="41" t="s">
        <v>1439</v>
      </c>
    </row>
    <row r="911" spans="1:59" x14ac:dyDescent="0.3">
      <c r="A911" s="4" t="s">
        <v>869</v>
      </c>
      <c r="B911" s="13"/>
      <c r="C911" s="13" t="s">
        <v>1488</v>
      </c>
      <c r="D911" s="101" t="s">
        <v>1669</v>
      </c>
      <c r="E911" s="102"/>
      <c r="F911" s="13" t="s">
        <v>2386</v>
      </c>
      <c r="G911" s="21">
        <v>1</v>
      </c>
      <c r="H911" s="21">
        <v>0</v>
      </c>
      <c r="I911" s="21">
        <f t="shared" si="864"/>
        <v>0</v>
      </c>
      <c r="J911" s="21">
        <f t="shared" si="865"/>
        <v>0</v>
      </c>
      <c r="K911" s="21">
        <f t="shared" si="866"/>
        <v>0</v>
      </c>
      <c r="L911" s="21">
        <v>0</v>
      </c>
      <c r="M911" s="21">
        <f t="shared" si="867"/>
        <v>0</v>
      </c>
      <c r="N911" s="35"/>
      <c r="O911" s="39"/>
      <c r="U911" s="41">
        <f t="shared" si="868"/>
        <v>0</v>
      </c>
      <c r="W911" s="41">
        <f t="shared" si="869"/>
        <v>0</v>
      </c>
      <c r="X911" s="41">
        <f t="shared" si="870"/>
        <v>0</v>
      </c>
      <c r="Y911" s="41">
        <f t="shared" si="871"/>
        <v>0</v>
      </c>
      <c r="Z911" s="41">
        <f t="shared" si="872"/>
        <v>0</v>
      </c>
      <c r="AA911" s="41">
        <f t="shared" si="873"/>
        <v>0</v>
      </c>
      <c r="AB911" s="41">
        <f t="shared" si="874"/>
        <v>0</v>
      </c>
      <c r="AC911" s="41">
        <f t="shared" si="875"/>
        <v>0</v>
      </c>
      <c r="AD911" s="31"/>
      <c r="AE911" s="21">
        <f t="shared" si="876"/>
        <v>0</v>
      </c>
      <c r="AF911" s="21">
        <f t="shared" si="877"/>
        <v>0</v>
      </c>
      <c r="AG911" s="21">
        <f t="shared" si="878"/>
        <v>0</v>
      </c>
      <c r="AI911" s="41">
        <v>21</v>
      </c>
      <c r="AJ911" s="41">
        <f t="shared" si="879"/>
        <v>0</v>
      </c>
      <c r="AK911" s="41">
        <f t="shared" si="880"/>
        <v>0</v>
      </c>
      <c r="AL911" s="42" t="s">
        <v>8</v>
      </c>
      <c r="AQ911" s="41">
        <f t="shared" si="881"/>
        <v>0</v>
      </c>
      <c r="AR911" s="41">
        <f t="shared" si="882"/>
        <v>0</v>
      </c>
      <c r="AS911" s="41">
        <f t="shared" si="883"/>
        <v>0</v>
      </c>
      <c r="AT911" s="44" t="s">
        <v>2472</v>
      </c>
      <c r="AU911" s="44" t="s">
        <v>2485</v>
      </c>
      <c r="AV911" s="31" t="s">
        <v>2486</v>
      </c>
      <c r="AX911" s="41">
        <f t="shared" si="884"/>
        <v>0</v>
      </c>
      <c r="AY911" s="41">
        <f t="shared" si="885"/>
        <v>0</v>
      </c>
      <c r="AZ911" s="41">
        <v>0</v>
      </c>
      <c r="BA911" s="41">
        <f t="shared" si="886"/>
        <v>0</v>
      </c>
      <c r="BC911" s="21">
        <f t="shared" si="887"/>
        <v>0</v>
      </c>
      <c r="BD911" s="21">
        <f t="shared" si="888"/>
        <v>0</v>
      </c>
      <c r="BE911" s="21">
        <f t="shared" si="889"/>
        <v>0</v>
      </c>
      <c r="BF911" s="21" t="s">
        <v>2492</v>
      </c>
      <c r="BG911" s="41" t="s">
        <v>1439</v>
      </c>
    </row>
    <row r="912" spans="1:59" x14ac:dyDescent="0.3">
      <c r="A912" s="5"/>
      <c r="B912" s="14"/>
      <c r="C912" s="14" t="s">
        <v>1489</v>
      </c>
      <c r="D912" s="103" t="s">
        <v>2253</v>
      </c>
      <c r="E912" s="104"/>
      <c r="F912" s="19" t="s">
        <v>6</v>
      </c>
      <c r="G912" s="19" t="s">
        <v>6</v>
      </c>
      <c r="H912" s="19" t="s">
        <v>6</v>
      </c>
      <c r="I912" s="47">
        <f>SUM(I913:I1003)</f>
        <v>0</v>
      </c>
      <c r="J912" s="47">
        <f>SUM(J913:J1003)</f>
        <v>0</v>
      </c>
      <c r="K912" s="47">
        <f>SUM(K913:K1003)</f>
        <v>0</v>
      </c>
      <c r="L912" s="31"/>
      <c r="M912" s="47">
        <f>SUM(M913:M1003)</f>
        <v>0</v>
      </c>
      <c r="N912" s="36"/>
      <c r="O912" s="39"/>
      <c r="AD912" s="31"/>
      <c r="AN912" s="47">
        <f>SUM(AE913:AE1003)</f>
        <v>0</v>
      </c>
      <c r="AO912" s="47">
        <f>SUM(AF913:AF1003)</f>
        <v>0</v>
      </c>
      <c r="AP912" s="47">
        <f>SUM(AG913:AG1003)</f>
        <v>0</v>
      </c>
    </row>
    <row r="913" spans="1:59" x14ac:dyDescent="0.3">
      <c r="A913" s="4" t="s">
        <v>870</v>
      </c>
      <c r="B913" s="13"/>
      <c r="C913" s="13" t="s">
        <v>1490</v>
      </c>
      <c r="D913" s="101" t="s">
        <v>2254</v>
      </c>
      <c r="E913" s="102"/>
      <c r="F913" s="13" t="s">
        <v>2384</v>
      </c>
      <c r="G913" s="21">
        <v>1</v>
      </c>
      <c r="H913" s="21">
        <v>0</v>
      </c>
      <c r="I913" s="21">
        <f t="shared" ref="I913:I944" si="890">G913*AJ913</f>
        <v>0</v>
      </c>
      <c r="J913" s="21">
        <f t="shared" ref="J913:J944" si="891">G913*AK913</f>
        <v>0</v>
      </c>
      <c r="K913" s="21">
        <f t="shared" ref="K913:K944" si="892">G913*H913</f>
        <v>0</v>
      </c>
      <c r="L913" s="21">
        <v>0</v>
      </c>
      <c r="M913" s="21">
        <f t="shared" ref="M913:M944" si="893">G913*L913</f>
        <v>0</v>
      </c>
      <c r="N913" s="35"/>
      <c r="O913" s="39"/>
      <c r="U913" s="41">
        <f t="shared" ref="U913:U944" si="894">IF(AL913="5",BE913,0)</f>
        <v>0</v>
      </c>
      <c r="W913" s="41">
        <f t="shared" ref="W913:W944" si="895">IF(AL913="1",BC913,0)</f>
        <v>0</v>
      </c>
      <c r="X913" s="41">
        <f t="shared" ref="X913:X944" si="896">IF(AL913="1",BD913,0)</f>
        <v>0</v>
      </c>
      <c r="Y913" s="41">
        <f t="shared" ref="Y913:Y944" si="897">IF(AL913="7",BC913,0)</f>
        <v>0</v>
      </c>
      <c r="Z913" s="41">
        <f t="shared" ref="Z913:Z944" si="898">IF(AL913="7",BD913,0)</f>
        <v>0</v>
      </c>
      <c r="AA913" s="41">
        <f t="shared" ref="AA913:AA944" si="899">IF(AL913="2",BC913,0)</f>
        <v>0</v>
      </c>
      <c r="AB913" s="41">
        <f t="shared" ref="AB913:AB944" si="900">IF(AL913="2",BD913,0)</f>
        <v>0</v>
      </c>
      <c r="AC913" s="41">
        <f t="shared" ref="AC913:AC944" si="901">IF(AL913="0",BE913,0)</f>
        <v>0</v>
      </c>
      <c r="AD913" s="31"/>
      <c r="AE913" s="21">
        <f t="shared" ref="AE913:AE944" si="902">IF(AI913=0,K913,0)</f>
        <v>0</v>
      </c>
      <c r="AF913" s="21">
        <f t="shared" ref="AF913:AF944" si="903">IF(AI913=15,K913,0)</f>
        <v>0</v>
      </c>
      <c r="AG913" s="21">
        <f t="shared" ref="AG913:AG944" si="904">IF(AI913=21,K913,0)</f>
        <v>0</v>
      </c>
      <c r="AI913" s="41">
        <v>21</v>
      </c>
      <c r="AJ913" s="41">
        <f>H913*0.75975975975976</f>
        <v>0</v>
      </c>
      <c r="AK913" s="41">
        <f>H913*(1-0.75975975975976)</f>
        <v>0</v>
      </c>
      <c r="AL913" s="42" t="s">
        <v>8</v>
      </c>
      <c r="AQ913" s="41">
        <f t="shared" ref="AQ913:AQ944" si="905">AR913+AS913</f>
        <v>0</v>
      </c>
      <c r="AR913" s="41">
        <f t="shared" ref="AR913:AR944" si="906">G913*AJ913</f>
        <v>0</v>
      </c>
      <c r="AS913" s="41">
        <f t="shared" ref="AS913:AS944" si="907">G913*AK913</f>
        <v>0</v>
      </c>
      <c r="AT913" s="44" t="s">
        <v>2473</v>
      </c>
      <c r="AU913" s="44" t="s">
        <v>2485</v>
      </c>
      <c r="AV913" s="31" t="s">
        <v>2486</v>
      </c>
      <c r="AX913" s="41">
        <f t="shared" ref="AX913:AX944" si="908">AR913+AS913</f>
        <v>0</v>
      </c>
      <c r="AY913" s="41">
        <f t="shared" ref="AY913:AY944" si="909">H913/(100-AZ913)*100</f>
        <v>0</v>
      </c>
      <c r="AZ913" s="41">
        <v>0</v>
      </c>
      <c r="BA913" s="41">
        <f t="shared" ref="BA913:BA944" si="910">M913</f>
        <v>0</v>
      </c>
      <c r="BC913" s="21">
        <f t="shared" ref="BC913:BC944" si="911">G913*AJ913</f>
        <v>0</v>
      </c>
      <c r="BD913" s="21">
        <f t="shared" ref="BD913:BD944" si="912">G913*AK913</f>
        <v>0</v>
      </c>
      <c r="BE913" s="21">
        <f t="shared" ref="BE913:BE944" si="913">G913*H913</f>
        <v>0</v>
      </c>
      <c r="BF913" s="21" t="s">
        <v>2492</v>
      </c>
      <c r="BG913" s="41" t="s">
        <v>1489</v>
      </c>
    </row>
    <row r="914" spans="1:59" x14ac:dyDescent="0.3">
      <c r="A914" s="4" t="s">
        <v>871</v>
      </c>
      <c r="B914" s="13"/>
      <c r="C914" s="13" t="s">
        <v>1491</v>
      </c>
      <c r="D914" s="101" t="s">
        <v>2255</v>
      </c>
      <c r="E914" s="102"/>
      <c r="F914" s="13" t="s">
        <v>2384</v>
      </c>
      <c r="G914" s="21">
        <v>1</v>
      </c>
      <c r="H914" s="21">
        <v>0</v>
      </c>
      <c r="I914" s="21">
        <f t="shared" si="890"/>
        <v>0</v>
      </c>
      <c r="J914" s="21">
        <f t="shared" si="891"/>
        <v>0</v>
      </c>
      <c r="K914" s="21">
        <f t="shared" si="892"/>
        <v>0</v>
      </c>
      <c r="L914" s="21">
        <v>0</v>
      </c>
      <c r="M914" s="21">
        <f t="shared" si="893"/>
        <v>0</v>
      </c>
      <c r="N914" s="35"/>
      <c r="O914" s="39"/>
      <c r="U914" s="41">
        <f t="shared" si="894"/>
        <v>0</v>
      </c>
      <c r="W914" s="41">
        <f t="shared" si="895"/>
        <v>0</v>
      </c>
      <c r="X914" s="41">
        <f t="shared" si="896"/>
        <v>0</v>
      </c>
      <c r="Y914" s="41">
        <f t="shared" si="897"/>
        <v>0</v>
      </c>
      <c r="Z914" s="41">
        <f t="shared" si="898"/>
        <v>0</v>
      </c>
      <c r="AA914" s="41">
        <f t="shared" si="899"/>
        <v>0</v>
      </c>
      <c r="AB914" s="41">
        <f t="shared" si="900"/>
        <v>0</v>
      </c>
      <c r="AC914" s="41">
        <f t="shared" si="901"/>
        <v>0</v>
      </c>
      <c r="AD914" s="31"/>
      <c r="AE914" s="21">
        <f t="shared" si="902"/>
        <v>0</v>
      </c>
      <c r="AF914" s="21">
        <f t="shared" si="903"/>
        <v>0</v>
      </c>
      <c r="AG914" s="21">
        <f t="shared" si="904"/>
        <v>0</v>
      </c>
      <c r="AI914" s="41">
        <v>21</v>
      </c>
      <c r="AJ914" s="41">
        <f>H914*0.925986842105263</f>
        <v>0</v>
      </c>
      <c r="AK914" s="41">
        <f>H914*(1-0.925986842105263)</f>
        <v>0</v>
      </c>
      <c r="AL914" s="42" t="s">
        <v>8</v>
      </c>
      <c r="AQ914" s="41">
        <f t="shared" si="905"/>
        <v>0</v>
      </c>
      <c r="AR914" s="41">
        <f t="shared" si="906"/>
        <v>0</v>
      </c>
      <c r="AS914" s="41">
        <f t="shared" si="907"/>
        <v>0</v>
      </c>
      <c r="AT914" s="44" t="s">
        <v>2473</v>
      </c>
      <c r="AU914" s="44" t="s">
        <v>2485</v>
      </c>
      <c r="AV914" s="31" t="s">
        <v>2486</v>
      </c>
      <c r="AX914" s="41">
        <f t="shared" si="908"/>
        <v>0</v>
      </c>
      <c r="AY914" s="41">
        <f t="shared" si="909"/>
        <v>0</v>
      </c>
      <c r="AZ914" s="41">
        <v>0</v>
      </c>
      <c r="BA914" s="41">
        <f t="shared" si="910"/>
        <v>0</v>
      </c>
      <c r="BC914" s="21">
        <f t="shared" si="911"/>
        <v>0</v>
      </c>
      <c r="BD914" s="21">
        <f t="shared" si="912"/>
        <v>0</v>
      </c>
      <c r="BE914" s="21">
        <f t="shared" si="913"/>
        <v>0</v>
      </c>
      <c r="BF914" s="21" t="s">
        <v>2492</v>
      </c>
      <c r="BG914" s="41" t="s">
        <v>1489</v>
      </c>
    </row>
    <row r="915" spans="1:59" x14ac:dyDescent="0.3">
      <c r="A915" s="4" t="s">
        <v>872</v>
      </c>
      <c r="B915" s="13"/>
      <c r="C915" s="13" t="s">
        <v>1492</v>
      </c>
      <c r="D915" s="101" t="s">
        <v>2256</v>
      </c>
      <c r="E915" s="102"/>
      <c r="F915" s="13" t="s">
        <v>2384</v>
      </c>
      <c r="G915" s="21">
        <v>5</v>
      </c>
      <c r="H915" s="21">
        <v>0</v>
      </c>
      <c r="I915" s="21">
        <f t="shared" si="890"/>
        <v>0</v>
      </c>
      <c r="J915" s="21">
        <f t="shared" si="891"/>
        <v>0</v>
      </c>
      <c r="K915" s="21">
        <f t="shared" si="892"/>
        <v>0</v>
      </c>
      <c r="L915" s="21">
        <v>0</v>
      </c>
      <c r="M915" s="21">
        <f t="shared" si="893"/>
        <v>0</v>
      </c>
      <c r="N915" s="35"/>
      <c r="O915" s="39"/>
      <c r="U915" s="41">
        <f t="shared" si="894"/>
        <v>0</v>
      </c>
      <c r="W915" s="41">
        <f t="shared" si="895"/>
        <v>0</v>
      </c>
      <c r="X915" s="41">
        <f t="shared" si="896"/>
        <v>0</v>
      </c>
      <c r="Y915" s="41">
        <f t="shared" si="897"/>
        <v>0</v>
      </c>
      <c r="Z915" s="41">
        <f t="shared" si="898"/>
        <v>0</v>
      </c>
      <c r="AA915" s="41">
        <f t="shared" si="899"/>
        <v>0</v>
      </c>
      <c r="AB915" s="41">
        <f t="shared" si="900"/>
        <v>0</v>
      </c>
      <c r="AC915" s="41">
        <f t="shared" si="901"/>
        <v>0</v>
      </c>
      <c r="AD915" s="31"/>
      <c r="AE915" s="21">
        <f t="shared" si="902"/>
        <v>0</v>
      </c>
      <c r="AF915" s="21">
        <f t="shared" si="903"/>
        <v>0</v>
      </c>
      <c r="AG915" s="21">
        <f t="shared" si="904"/>
        <v>0</v>
      </c>
      <c r="AI915" s="41">
        <v>21</v>
      </c>
      <c r="AJ915" s="41">
        <f>H915*0.831775700934579</f>
        <v>0</v>
      </c>
      <c r="AK915" s="41">
        <f>H915*(1-0.831775700934579)</f>
        <v>0</v>
      </c>
      <c r="AL915" s="42" t="s">
        <v>8</v>
      </c>
      <c r="AQ915" s="41">
        <f t="shared" si="905"/>
        <v>0</v>
      </c>
      <c r="AR915" s="41">
        <f t="shared" si="906"/>
        <v>0</v>
      </c>
      <c r="AS915" s="41">
        <f t="shared" si="907"/>
        <v>0</v>
      </c>
      <c r="AT915" s="44" t="s">
        <v>2473</v>
      </c>
      <c r="AU915" s="44" t="s">
        <v>2485</v>
      </c>
      <c r="AV915" s="31" t="s">
        <v>2486</v>
      </c>
      <c r="AX915" s="41">
        <f t="shared" si="908"/>
        <v>0</v>
      </c>
      <c r="AY915" s="41">
        <f t="shared" si="909"/>
        <v>0</v>
      </c>
      <c r="AZ915" s="41">
        <v>0</v>
      </c>
      <c r="BA915" s="41">
        <f t="shared" si="910"/>
        <v>0</v>
      </c>
      <c r="BC915" s="21">
        <f t="shared" si="911"/>
        <v>0</v>
      </c>
      <c r="BD915" s="21">
        <f t="shared" si="912"/>
        <v>0</v>
      </c>
      <c r="BE915" s="21">
        <f t="shared" si="913"/>
        <v>0</v>
      </c>
      <c r="BF915" s="21" t="s">
        <v>2492</v>
      </c>
      <c r="BG915" s="41" t="s">
        <v>1489</v>
      </c>
    </row>
    <row r="916" spans="1:59" x14ac:dyDescent="0.3">
      <c r="A916" s="4" t="s">
        <v>873</v>
      </c>
      <c r="B916" s="13"/>
      <c r="C916" s="13" t="s">
        <v>1493</v>
      </c>
      <c r="D916" s="101" t="s">
        <v>2257</v>
      </c>
      <c r="E916" s="102"/>
      <c r="F916" s="13" t="s">
        <v>2384</v>
      </c>
      <c r="G916" s="21">
        <v>1</v>
      </c>
      <c r="H916" s="21">
        <v>0</v>
      </c>
      <c r="I916" s="21">
        <f t="shared" si="890"/>
        <v>0</v>
      </c>
      <c r="J916" s="21">
        <f t="shared" si="891"/>
        <v>0</v>
      </c>
      <c r="K916" s="21">
        <f t="shared" si="892"/>
        <v>0</v>
      </c>
      <c r="L916" s="21">
        <v>0</v>
      </c>
      <c r="M916" s="21">
        <f t="shared" si="893"/>
        <v>0</v>
      </c>
      <c r="N916" s="35"/>
      <c r="O916" s="39"/>
      <c r="U916" s="41">
        <f t="shared" si="894"/>
        <v>0</v>
      </c>
      <c r="W916" s="41">
        <f t="shared" si="895"/>
        <v>0</v>
      </c>
      <c r="X916" s="41">
        <f t="shared" si="896"/>
        <v>0</v>
      </c>
      <c r="Y916" s="41">
        <f t="shared" si="897"/>
        <v>0</v>
      </c>
      <c r="Z916" s="41">
        <f t="shared" si="898"/>
        <v>0</v>
      </c>
      <c r="AA916" s="41">
        <f t="shared" si="899"/>
        <v>0</v>
      </c>
      <c r="AB916" s="41">
        <f t="shared" si="900"/>
        <v>0</v>
      </c>
      <c r="AC916" s="41">
        <f t="shared" si="901"/>
        <v>0</v>
      </c>
      <c r="AD916" s="31"/>
      <c r="AE916" s="21">
        <f t="shared" si="902"/>
        <v>0</v>
      </c>
      <c r="AF916" s="21">
        <f t="shared" si="903"/>
        <v>0</v>
      </c>
      <c r="AG916" s="21">
        <f t="shared" si="904"/>
        <v>0</v>
      </c>
      <c r="AI916" s="41">
        <v>21</v>
      </c>
      <c r="AJ916" s="41">
        <f>H916*0.810810810810811</f>
        <v>0</v>
      </c>
      <c r="AK916" s="41">
        <f>H916*(1-0.810810810810811)</f>
        <v>0</v>
      </c>
      <c r="AL916" s="42" t="s">
        <v>8</v>
      </c>
      <c r="AQ916" s="41">
        <f t="shared" si="905"/>
        <v>0</v>
      </c>
      <c r="AR916" s="41">
        <f t="shared" si="906"/>
        <v>0</v>
      </c>
      <c r="AS916" s="41">
        <f t="shared" si="907"/>
        <v>0</v>
      </c>
      <c r="AT916" s="44" t="s">
        <v>2473</v>
      </c>
      <c r="AU916" s="44" t="s">
        <v>2485</v>
      </c>
      <c r="AV916" s="31" t="s">
        <v>2486</v>
      </c>
      <c r="AX916" s="41">
        <f t="shared" si="908"/>
        <v>0</v>
      </c>
      <c r="AY916" s="41">
        <f t="shared" si="909"/>
        <v>0</v>
      </c>
      <c r="AZ916" s="41">
        <v>0</v>
      </c>
      <c r="BA916" s="41">
        <f t="shared" si="910"/>
        <v>0</v>
      </c>
      <c r="BC916" s="21">
        <f t="shared" si="911"/>
        <v>0</v>
      </c>
      <c r="BD916" s="21">
        <f t="shared" si="912"/>
        <v>0</v>
      </c>
      <c r="BE916" s="21">
        <f t="shared" si="913"/>
        <v>0</v>
      </c>
      <c r="BF916" s="21" t="s">
        <v>2492</v>
      </c>
      <c r="BG916" s="41" t="s">
        <v>1489</v>
      </c>
    </row>
    <row r="917" spans="1:59" x14ac:dyDescent="0.3">
      <c r="A917" s="4" t="s">
        <v>874</v>
      </c>
      <c r="B917" s="13"/>
      <c r="C917" s="13" t="s">
        <v>1494</v>
      </c>
      <c r="D917" s="101" t="s">
        <v>2258</v>
      </c>
      <c r="E917" s="102"/>
      <c r="F917" s="13" t="s">
        <v>2384</v>
      </c>
      <c r="G917" s="21">
        <v>16</v>
      </c>
      <c r="H917" s="21">
        <v>0</v>
      </c>
      <c r="I917" s="21">
        <f t="shared" si="890"/>
        <v>0</v>
      </c>
      <c r="J917" s="21">
        <f t="shared" si="891"/>
        <v>0</v>
      </c>
      <c r="K917" s="21">
        <f t="shared" si="892"/>
        <v>0</v>
      </c>
      <c r="L917" s="21">
        <v>0</v>
      </c>
      <c r="M917" s="21">
        <f t="shared" si="893"/>
        <v>0</v>
      </c>
      <c r="N917" s="35"/>
      <c r="O917" s="39"/>
      <c r="U917" s="41">
        <f t="shared" si="894"/>
        <v>0</v>
      </c>
      <c r="W917" s="41">
        <f t="shared" si="895"/>
        <v>0</v>
      </c>
      <c r="X917" s="41">
        <f t="shared" si="896"/>
        <v>0</v>
      </c>
      <c r="Y917" s="41">
        <f t="shared" si="897"/>
        <v>0</v>
      </c>
      <c r="Z917" s="41">
        <f t="shared" si="898"/>
        <v>0</v>
      </c>
      <c r="AA917" s="41">
        <f t="shared" si="899"/>
        <v>0</v>
      </c>
      <c r="AB917" s="41">
        <f t="shared" si="900"/>
        <v>0</v>
      </c>
      <c r="AC917" s="41">
        <f t="shared" si="901"/>
        <v>0</v>
      </c>
      <c r="AD917" s="31"/>
      <c r="AE917" s="21">
        <f t="shared" si="902"/>
        <v>0</v>
      </c>
      <c r="AF917" s="21">
        <f t="shared" si="903"/>
        <v>0</v>
      </c>
      <c r="AG917" s="21">
        <f t="shared" si="904"/>
        <v>0</v>
      </c>
      <c r="AI917" s="41">
        <v>21</v>
      </c>
      <c r="AJ917" s="41">
        <f>H917*0.805981744027967</f>
        <v>0</v>
      </c>
      <c r="AK917" s="41">
        <f>H917*(1-0.805981744027967)</f>
        <v>0</v>
      </c>
      <c r="AL917" s="42" t="s">
        <v>8</v>
      </c>
      <c r="AQ917" s="41">
        <f t="shared" si="905"/>
        <v>0</v>
      </c>
      <c r="AR917" s="41">
        <f t="shared" si="906"/>
        <v>0</v>
      </c>
      <c r="AS917" s="41">
        <f t="shared" si="907"/>
        <v>0</v>
      </c>
      <c r="AT917" s="44" t="s">
        <v>2473</v>
      </c>
      <c r="AU917" s="44" t="s">
        <v>2485</v>
      </c>
      <c r="AV917" s="31" t="s">
        <v>2486</v>
      </c>
      <c r="AX917" s="41">
        <f t="shared" si="908"/>
        <v>0</v>
      </c>
      <c r="AY917" s="41">
        <f t="shared" si="909"/>
        <v>0</v>
      </c>
      <c r="AZ917" s="41">
        <v>0</v>
      </c>
      <c r="BA917" s="41">
        <f t="shared" si="910"/>
        <v>0</v>
      </c>
      <c r="BC917" s="21">
        <f t="shared" si="911"/>
        <v>0</v>
      </c>
      <c r="BD917" s="21">
        <f t="shared" si="912"/>
        <v>0</v>
      </c>
      <c r="BE917" s="21">
        <f t="shared" si="913"/>
        <v>0</v>
      </c>
      <c r="BF917" s="21" t="s">
        <v>2492</v>
      </c>
      <c r="BG917" s="41" t="s">
        <v>1489</v>
      </c>
    </row>
    <row r="918" spans="1:59" x14ac:dyDescent="0.3">
      <c r="A918" s="4" t="s">
        <v>875</v>
      </c>
      <c r="B918" s="13"/>
      <c r="C918" s="13" t="s">
        <v>1495</v>
      </c>
      <c r="D918" s="101" t="s">
        <v>2259</v>
      </c>
      <c r="E918" s="102"/>
      <c r="F918" s="13" t="s">
        <v>2384</v>
      </c>
      <c r="G918" s="21">
        <v>1</v>
      </c>
      <c r="H918" s="21">
        <v>0</v>
      </c>
      <c r="I918" s="21">
        <f t="shared" si="890"/>
        <v>0</v>
      </c>
      <c r="J918" s="21">
        <f t="shared" si="891"/>
        <v>0</v>
      </c>
      <c r="K918" s="21">
        <f t="shared" si="892"/>
        <v>0</v>
      </c>
      <c r="L918" s="21">
        <v>0</v>
      </c>
      <c r="M918" s="21">
        <f t="shared" si="893"/>
        <v>0</v>
      </c>
      <c r="N918" s="35"/>
      <c r="O918" s="39"/>
      <c r="U918" s="41">
        <f t="shared" si="894"/>
        <v>0</v>
      </c>
      <c r="W918" s="41">
        <f t="shared" si="895"/>
        <v>0</v>
      </c>
      <c r="X918" s="41">
        <f t="shared" si="896"/>
        <v>0</v>
      </c>
      <c r="Y918" s="41">
        <f t="shared" si="897"/>
        <v>0</v>
      </c>
      <c r="Z918" s="41">
        <f t="shared" si="898"/>
        <v>0</v>
      </c>
      <c r="AA918" s="41">
        <f t="shared" si="899"/>
        <v>0</v>
      </c>
      <c r="AB918" s="41">
        <f t="shared" si="900"/>
        <v>0</v>
      </c>
      <c r="AC918" s="41">
        <f t="shared" si="901"/>
        <v>0</v>
      </c>
      <c r="AD918" s="31"/>
      <c r="AE918" s="21">
        <f t="shared" si="902"/>
        <v>0</v>
      </c>
      <c r="AF918" s="21">
        <f t="shared" si="903"/>
        <v>0</v>
      </c>
      <c r="AG918" s="21">
        <f t="shared" si="904"/>
        <v>0</v>
      </c>
      <c r="AI918" s="41">
        <v>21</v>
      </c>
      <c r="AJ918" s="41">
        <f>H918*0.864406779661017</f>
        <v>0</v>
      </c>
      <c r="AK918" s="41">
        <f>H918*(1-0.864406779661017)</f>
        <v>0</v>
      </c>
      <c r="AL918" s="42" t="s">
        <v>8</v>
      </c>
      <c r="AQ918" s="41">
        <f t="shared" si="905"/>
        <v>0</v>
      </c>
      <c r="AR918" s="41">
        <f t="shared" si="906"/>
        <v>0</v>
      </c>
      <c r="AS918" s="41">
        <f t="shared" si="907"/>
        <v>0</v>
      </c>
      <c r="AT918" s="44" t="s">
        <v>2473</v>
      </c>
      <c r="AU918" s="44" t="s">
        <v>2485</v>
      </c>
      <c r="AV918" s="31" t="s">
        <v>2486</v>
      </c>
      <c r="AX918" s="41">
        <f t="shared" si="908"/>
        <v>0</v>
      </c>
      <c r="AY918" s="41">
        <f t="shared" si="909"/>
        <v>0</v>
      </c>
      <c r="AZ918" s="41">
        <v>0</v>
      </c>
      <c r="BA918" s="41">
        <f t="shared" si="910"/>
        <v>0</v>
      </c>
      <c r="BC918" s="21">
        <f t="shared" si="911"/>
        <v>0</v>
      </c>
      <c r="BD918" s="21">
        <f t="shared" si="912"/>
        <v>0</v>
      </c>
      <c r="BE918" s="21">
        <f t="shared" si="913"/>
        <v>0</v>
      </c>
      <c r="BF918" s="21" t="s">
        <v>2492</v>
      </c>
      <c r="BG918" s="41" t="s">
        <v>1489</v>
      </c>
    </row>
    <row r="919" spans="1:59" x14ac:dyDescent="0.3">
      <c r="A919" s="4" t="s">
        <v>876</v>
      </c>
      <c r="B919" s="13"/>
      <c r="C919" s="13" t="s">
        <v>1496</v>
      </c>
      <c r="D919" s="101" t="s">
        <v>2260</v>
      </c>
      <c r="E919" s="102"/>
      <c r="F919" s="13" t="s">
        <v>2384</v>
      </c>
      <c r="G919" s="21">
        <v>1</v>
      </c>
      <c r="H919" s="21">
        <v>0</v>
      </c>
      <c r="I919" s="21">
        <f t="shared" si="890"/>
        <v>0</v>
      </c>
      <c r="J919" s="21">
        <f t="shared" si="891"/>
        <v>0</v>
      </c>
      <c r="K919" s="21">
        <f t="shared" si="892"/>
        <v>0</v>
      </c>
      <c r="L919" s="21">
        <v>0</v>
      </c>
      <c r="M919" s="21">
        <f t="shared" si="893"/>
        <v>0</v>
      </c>
      <c r="N919" s="35"/>
      <c r="O919" s="39"/>
      <c r="U919" s="41">
        <f t="shared" si="894"/>
        <v>0</v>
      </c>
      <c r="W919" s="41">
        <f t="shared" si="895"/>
        <v>0</v>
      </c>
      <c r="X919" s="41">
        <f t="shared" si="896"/>
        <v>0</v>
      </c>
      <c r="Y919" s="41">
        <f t="shared" si="897"/>
        <v>0</v>
      </c>
      <c r="Z919" s="41">
        <f t="shared" si="898"/>
        <v>0</v>
      </c>
      <c r="AA919" s="41">
        <f t="shared" si="899"/>
        <v>0</v>
      </c>
      <c r="AB919" s="41">
        <f t="shared" si="900"/>
        <v>0</v>
      </c>
      <c r="AC919" s="41">
        <f t="shared" si="901"/>
        <v>0</v>
      </c>
      <c r="AD919" s="31"/>
      <c r="AE919" s="21">
        <f t="shared" si="902"/>
        <v>0</v>
      </c>
      <c r="AF919" s="21">
        <f t="shared" si="903"/>
        <v>0</v>
      </c>
      <c r="AG919" s="21">
        <f t="shared" si="904"/>
        <v>0</v>
      </c>
      <c r="AI919" s="41">
        <v>21</v>
      </c>
      <c r="AJ919" s="41">
        <f>H919*0.85981308411215</f>
        <v>0</v>
      </c>
      <c r="AK919" s="41">
        <f>H919*(1-0.85981308411215)</f>
        <v>0</v>
      </c>
      <c r="AL919" s="42" t="s">
        <v>8</v>
      </c>
      <c r="AQ919" s="41">
        <f t="shared" si="905"/>
        <v>0</v>
      </c>
      <c r="AR919" s="41">
        <f t="shared" si="906"/>
        <v>0</v>
      </c>
      <c r="AS919" s="41">
        <f t="shared" si="907"/>
        <v>0</v>
      </c>
      <c r="AT919" s="44" t="s">
        <v>2473</v>
      </c>
      <c r="AU919" s="44" t="s">
        <v>2485</v>
      </c>
      <c r="AV919" s="31" t="s">
        <v>2486</v>
      </c>
      <c r="AX919" s="41">
        <f t="shared" si="908"/>
        <v>0</v>
      </c>
      <c r="AY919" s="41">
        <f t="shared" si="909"/>
        <v>0</v>
      </c>
      <c r="AZ919" s="41">
        <v>0</v>
      </c>
      <c r="BA919" s="41">
        <f t="shared" si="910"/>
        <v>0</v>
      </c>
      <c r="BC919" s="21">
        <f t="shared" si="911"/>
        <v>0</v>
      </c>
      <c r="BD919" s="21">
        <f t="shared" si="912"/>
        <v>0</v>
      </c>
      <c r="BE919" s="21">
        <f t="shared" si="913"/>
        <v>0</v>
      </c>
      <c r="BF919" s="21" t="s">
        <v>2492</v>
      </c>
      <c r="BG919" s="41" t="s">
        <v>1489</v>
      </c>
    </row>
    <row r="920" spans="1:59" x14ac:dyDescent="0.3">
      <c r="A920" s="4" t="s">
        <v>877</v>
      </c>
      <c r="B920" s="13"/>
      <c r="C920" s="13" t="s">
        <v>1497</v>
      </c>
      <c r="D920" s="101" t="s">
        <v>2261</v>
      </c>
      <c r="E920" s="102"/>
      <c r="F920" s="13" t="s">
        <v>2384</v>
      </c>
      <c r="G920" s="21">
        <v>5</v>
      </c>
      <c r="H920" s="21">
        <v>0</v>
      </c>
      <c r="I920" s="21">
        <f t="shared" si="890"/>
        <v>0</v>
      </c>
      <c r="J920" s="21">
        <f t="shared" si="891"/>
        <v>0</v>
      </c>
      <c r="K920" s="21">
        <f t="shared" si="892"/>
        <v>0</v>
      </c>
      <c r="L920" s="21">
        <v>0</v>
      </c>
      <c r="M920" s="21">
        <f t="shared" si="893"/>
        <v>0</v>
      </c>
      <c r="N920" s="35"/>
      <c r="O920" s="39"/>
      <c r="U920" s="41">
        <f t="shared" si="894"/>
        <v>0</v>
      </c>
      <c r="W920" s="41">
        <f t="shared" si="895"/>
        <v>0</v>
      </c>
      <c r="X920" s="41">
        <f t="shared" si="896"/>
        <v>0</v>
      </c>
      <c r="Y920" s="41">
        <f t="shared" si="897"/>
        <v>0</v>
      </c>
      <c r="Z920" s="41">
        <f t="shared" si="898"/>
        <v>0</v>
      </c>
      <c r="AA920" s="41">
        <f t="shared" si="899"/>
        <v>0</v>
      </c>
      <c r="AB920" s="41">
        <f t="shared" si="900"/>
        <v>0</v>
      </c>
      <c r="AC920" s="41">
        <f t="shared" si="901"/>
        <v>0</v>
      </c>
      <c r="AD920" s="31"/>
      <c r="AE920" s="21">
        <f t="shared" si="902"/>
        <v>0</v>
      </c>
      <c r="AF920" s="21">
        <f t="shared" si="903"/>
        <v>0</v>
      </c>
      <c r="AG920" s="21">
        <f t="shared" si="904"/>
        <v>0</v>
      </c>
      <c r="AI920" s="41">
        <v>21</v>
      </c>
      <c r="AJ920" s="41">
        <f>H920*0.264705882352941</f>
        <v>0</v>
      </c>
      <c r="AK920" s="41">
        <f>H920*(1-0.264705882352941)</f>
        <v>0</v>
      </c>
      <c r="AL920" s="42" t="s">
        <v>8</v>
      </c>
      <c r="AQ920" s="41">
        <f t="shared" si="905"/>
        <v>0</v>
      </c>
      <c r="AR920" s="41">
        <f t="shared" si="906"/>
        <v>0</v>
      </c>
      <c r="AS920" s="41">
        <f t="shared" si="907"/>
        <v>0</v>
      </c>
      <c r="AT920" s="44" t="s">
        <v>2473</v>
      </c>
      <c r="AU920" s="44" t="s">
        <v>2485</v>
      </c>
      <c r="AV920" s="31" t="s">
        <v>2486</v>
      </c>
      <c r="AX920" s="41">
        <f t="shared" si="908"/>
        <v>0</v>
      </c>
      <c r="AY920" s="41">
        <f t="shared" si="909"/>
        <v>0</v>
      </c>
      <c r="AZ920" s="41">
        <v>0</v>
      </c>
      <c r="BA920" s="41">
        <f t="shared" si="910"/>
        <v>0</v>
      </c>
      <c r="BC920" s="21">
        <f t="shared" si="911"/>
        <v>0</v>
      </c>
      <c r="BD920" s="21">
        <f t="shared" si="912"/>
        <v>0</v>
      </c>
      <c r="BE920" s="21">
        <f t="shared" si="913"/>
        <v>0</v>
      </c>
      <c r="BF920" s="21" t="s">
        <v>2492</v>
      </c>
      <c r="BG920" s="41" t="s">
        <v>1489</v>
      </c>
    </row>
    <row r="921" spans="1:59" x14ac:dyDescent="0.3">
      <c r="A921" s="4" t="s">
        <v>878</v>
      </c>
      <c r="B921" s="13"/>
      <c r="C921" s="13" t="s">
        <v>1498</v>
      </c>
      <c r="D921" s="101" t="s">
        <v>2261</v>
      </c>
      <c r="E921" s="102"/>
      <c r="F921" s="13" t="s">
        <v>2384</v>
      </c>
      <c r="G921" s="21">
        <v>13</v>
      </c>
      <c r="H921" s="21">
        <v>0</v>
      </c>
      <c r="I921" s="21">
        <f t="shared" si="890"/>
        <v>0</v>
      </c>
      <c r="J921" s="21">
        <f t="shared" si="891"/>
        <v>0</v>
      </c>
      <c r="K921" s="21">
        <f t="shared" si="892"/>
        <v>0</v>
      </c>
      <c r="L921" s="21">
        <v>0</v>
      </c>
      <c r="M921" s="21">
        <f t="shared" si="893"/>
        <v>0</v>
      </c>
      <c r="N921" s="35"/>
      <c r="O921" s="39"/>
      <c r="U921" s="41">
        <f t="shared" si="894"/>
        <v>0</v>
      </c>
      <c r="W921" s="41">
        <f t="shared" si="895"/>
        <v>0</v>
      </c>
      <c r="X921" s="41">
        <f t="shared" si="896"/>
        <v>0</v>
      </c>
      <c r="Y921" s="41">
        <f t="shared" si="897"/>
        <v>0</v>
      </c>
      <c r="Z921" s="41">
        <f t="shared" si="898"/>
        <v>0</v>
      </c>
      <c r="AA921" s="41">
        <f t="shared" si="899"/>
        <v>0</v>
      </c>
      <c r="AB921" s="41">
        <f t="shared" si="900"/>
        <v>0</v>
      </c>
      <c r="AC921" s="41">
        <f t="shared" si="901"/>
        <v>0</v>
      </c>
      <c r="AD921" s="31"/>
      <c r="AE921" s="21">
        <f t="shared" si="902"/>
        <v>0</v>
      </c>
      <c r="AF921" s="21">
        <f t="shared" si="903"/>
        <v>0</v>
      </c>
      <c r="AG921" s="21">
        <f t="shared" si="904"/>
        <v>0</v>
      </c>
      <c r="AI921" s="41">
        <v>21</v>
      </c>
      <c r="AJ921" s="41">
        <f>H921*0</f>
        <v>0</v>
      </c>
      <c r="AK921" s="41">
        <f>H921*(1-0)</f>
        <v>0</v>
      </c>
      <c r="AL921" s="42" t="s">
        <v>8</v>
      </c>
      <c r="AQ921" s="41">
        <f t="shared" si="905"/>
        <v>0</v>
      </c>
      <c r="AR921" s="41">
        <f t="shared" si="906"/>
        <v>0</v>
      </c>
      <c r="AS921" s="41">
        <f t="shared" si="907"/>
        <v>0</v>
      </c>
      <c r="AT921" s="44" t="s">
        <v>2473</v>
      </c>
      <c r="AU921" s="44" t="s">
        <v>2485</v>
      </c>
      <c r="AV921" s="31" t="s">
        <v>2486</v>
      </c>
      <c r="AX921" s="41">
        <f t="shared" si="908"/>
        <v>0</v>
      </c>
      <c r="AY921" s="41">
        <f t="shared" si="909"/>
        <v>0</v>
      </c>
      <c r="AZ921" s="41">
        <v>0</v>
      </c>
      <c r="BA921" s="41">
        <f t="shared" si="910"/>
        <v>0</v>
      </c>
      <c r="BC921" s="21">
        <f t="shared" si="911"/>
        <v>0</v>
      </c>
      <c r="BD921" s="21">
        <f t="shared" si="912"/>
        <v>0</v>
      </c>
      <c r="BE921" s="21">
        <f t="shared" si="913"/>
        <v>0</v>
      </c>
      <c r="BF921" s="21" t="s">
        <v>2492</v>
      </c>
      <c r="BG921" s="41" t="s">
        <v>1489</v>
      </c>
    </row>
    <row r="922" spans="1:59" x14ac:dyDescent="0.3">
      <c r="A922" s="4" t="s">
        <v>879</v>
      </c>
      <c r="B922" s="13"/>
      <c r="C922" s="13" t="s">
        <v>1499</v>
      </c>
      <c r="D922" s="101" t="s">
        <v>2262</v>
      </c>
      <c r="E922" s="102"/>
      <c r="F922" s="13" t="s">
        <v>2384</v>
      </c>
      <c r="G922" s="21">
        <v>19</v>
      </c>
      <c r="H922" s="21">
        <v>0</v>
      </c>
      <c r="I922" s="21">
        <f t="shared" si="890"/>
        <v>0</v>
      </c>
      <c r="J922" s="21">
        <f t="shared" si="891"/>
        <v>0</v>
      </c>
      <c r="K922" s="21">
        <f t="shared" si="892"/>
        <v>0</v>
      </c>
      <c r="L922" s="21">
        <v>0</v>
      </c>
      <c r="M922" s="21">
        <f t="shared" si="893"/>
        <v>0</v>
      </c>
      <c r="N922" s="35"/>
      <c r="O922" s="39"/>
      <c r="U922" s="41">
        <f t="shared" si="894"/>
        <v>0</v>
      </c>
      <c r="W922" s="41">
        <f t="shared" si="895"/>
        <v>0</v>
      </c>
      <c r="X922" s="41">
        <f t="shared" si="896"/>
        <v>0</v>
      </c>
      <c r="Y922" s="41">
        <f t="shared" si="897"/>
        <v>0</v>
      </c>
      <c r="Z922" s="41">
        <f t="shared" si="898"/>
        <v>0</v>
      </c>
      <c r="AA922" s="41">
        <f t="shared" si="899"/>
        <v>0</v>
      </c>
      <c r="AB922" s="41">
        <f t="shared" si="900"/>
        <v>0</v>
      </c>
      <c r="AC922" s="41">
        <f t="shared" si="901"/>
        <v>0</v>
      </c>
      <c r="AD922" s="31"/>
      <c r="AE922" s="21">
        <f t="shared" si="902"/>
        <v>0</v>
      </c>
      <c r="AF922" s="21">
        <f t="shared" si="903"/>
        <v>0</v>
      </c>
      <c r="AG922" s="21">
        <f t="shared" si="904"/>
        <v>0</v>
      </c>
      <c r="AI922" s="41">
        <v>21</v>
      </c>
      <c r="AJ922" s="41">
        <f>H922*0.666666666666667</f>
        <v>0</v>
      </c>
      <c r="AK922" s="41">
        <f>H922*(1-0.666666666666667)</f>
        <v>0</v>
      </c>
      <c r="AL922" s="42" t="s">
        <v>8</v>
      </c>
      <c r="AQ922" s="41">
        <f t="shared" si="905"/>
        <v>0</v>
      </c>
      <c r="AR922" s="41">
        <f t="shared" si="906"/>
        <v>0</v>
      </c>
      <c r="AS922" s="41">
        <f t="shared" si="907"/>
        <v>0</v>
      </c>
      <c r="AT922" s="44" t="s">
        <v>2473</v>
      </c>
      <c r="AU922" s="44" t="s">
        <v>2485</v>
      </c>
      <c r="AV922" s="31" t="s">
        <v>2486</v>
      </c>
      <c r="AX922" s="41">
        <f t="shared" si="908"/>
        <v>0</v>
      </c>
      <c r="AY922" s="41">
        <f t="shared" si="909"/>
        <v>0</v>
      </c>
      <c r="AZ922" s="41">
        <v>0</v>
      </c>
      <c r="BA922" s="41">
        <f t="shared" si="910"/>
        <v>0</v>
      </c>
      <c r="BC922" s="21">
        <f t="shared" si="911"/>
        <v>0</v>
      </c>
      <c r="BD922" s="21">
        <f t="shared" si="912"/>
        <v>0</v>
      </c>
      <c r="BE922" s="21">
        <f t="shared" si="913"/>
        <v>0</v>
      </c>
      <c r="BF922" s="21" t="s">
        <v>2492</v>
      </c>
      <c r="BG922" s="41" t="s">
        <v>1489</v>
      </c>
    </row>
    <row r="923" spans="1:59" x14ac:dyDescent="0.3">
      <c r="A923" s="4" t="s">
        <v>880</v>
      </c>
      <c r="B923" s="13"/>
      <c r="C923" s="13" t="s">
        <v>1500</v>
      </c>
      <c r="D923" s="101" t="s">
        <v>2263</v>
      </c>
      <c r="E923" s="102"/>
      <c r="F923" s="13" t="s">
        <v>2384</v>
      </c>
      <c r="G923" s="21">
        <v>13</v>
      </c>
      <c r="H923" s="21">
        <v>0</v>
      </c>
      <c r="I923" s="21">
        <f t="shared" si="890"/>
        <v>0</v>
      </c>
      <c r="J923" s="21">
        <f t="shared" si="891"/>
        <v>0</v>
      </c>
      <c r="K923" s="21">
        <f t="shared" si="892"/>
        <v>0</v>
      </c>
      <c r="L923" s="21">
        <v>0</v>
      </c>
      <c r="M923" s="21">
        <f t="shared" si="893"/>
        <v>0</v>
      </c>
      <c r="N923" s="35"/>
      <c r="O923" s="39"/>
      <c r="U923" s="41">
        <f t="shared" si="894"/>
        <v>0</v>
      </c>
      <c r="W923" s="41">
        <f t="shared" si="895"/>
        <v>0</v>
      </c>
      <c r="X923" s="41">
        <f t="shared" si="896"/>
        <v>0</v>
      </c>
      <c r="Y923" s="41">
        <f t="shared" si="897"/>
        <v>0</v>
      </c>
      <c r="Z923" s="41">
        <f t="shared" si="898"/>
        <v>0</v>
      </c>
      <c r="AA923" s="41">
        <f t="shared" si="899"/>
        <v>0</v>
      </c>
      <c r="AB923" s="41">
        <f t="shared" si="900"/>
        <v>0</v>
      </c>
      <c r="AC923" s="41">
        <f t="shared" si="901"/>
        <v>0</v>
      </c>
      <c r="AD923" s="31"/>
      <c r="AE923" s="21">
        <f t="shared" si="902"/>
        <v>0</v>
      </c>
      <c r="AF923" s="21">
        <f t="shared" si="903"/>
        <v>0</v>
      </c>
      <c r="AG923" s="21">
        <f t="shared" si="904"/>
        <v>0</v>
      </c>
      <c r="AI923" s="41">
        <v>21</v>
      </c>
      <c r="AJ923" s="41">
        <f>H923*0.666666666666667</f>
        <v>0</v>
      </c>
      <c r="AK923" s="41">
        <f>H923*(1-0.666666666666667)</f>
        <v>0</v>
      </c>
      <c r="AL923" s="42" t="s">
        <v>8</v>
      </c>
      <c r="AQ923" s="41">
        <f t="shared" si="905"/>
        <v>0</v>
      </c>
      <c r="AR923" s="41">
        <f t="shared" si="906"/>
        <v>0</v>
      </c>
      <c r="AS923" s="41">
        <f t="shared" si="907"/>
        <v>0</v>
      </c>
      <c r="AT923" s="44" t="s">
        <v>2473</v>
      </c>
      <c r="AU923" s="44" t="s">
        <v>2485</v>
      </c>
      <c r="AV923" s="31" t="s">
        <v>2486</v>
      </c>
      <c r="AX923" s="41">
        <f t="shared" si="908"/>
        <v>0</v>
      </c>
      <c r="AY923" s="41">
        <f t="shared" si="909"/>
        <v>0</v>
      </c>
      <c r="AZ923" s="41">
        <v>0</v>
      </c>
      <c r="BA923" s="41">
        <f t="shared" si="910"/>
        <v>0</v>
      </c>
      <c r="BC923" s="21">
        <f t="shared" si="911"/>
        <v>0</v>
      </c>
      <c r="BD923" s="21">
        <f t="shared" si="912"/>
        <v>0</v>
      </c>
      <c r="BE923" s="21">
        <f t="shared" si="913"/>
        <v>0</v>
      </c>
      <c r="BF923" s="21" t="s">
        <v>2492</v>
      </c>
      <c r="BG923" s="41" t="s">
        <v>1489</v>
      </c>
    </row>
    <row r="924" spans="1:59" x14ac:dyDescent="0.3">
      <c r="A924" s="4" t="s">
        <v>881</v>
      </c>
      <c r="B924" s="13"/>
      <c r="C924" s="13" t="s">
        <v>1501</v>
      </c>
      <c r="D924" s="101" t="s">
        <v>2264</v>
      </c>
      <c r="E924" s="102"/>
      <c r="F924" s="13" t="s">
        <v>2384</v>
      </c>
      <c r="G924" s="21">
        <v>34</v>
      </c>
      <c r="H924" s="21">
        <v>0</v>
      </c>
      <c r="I924" s="21">
        <f t="shared" si="890"/>
        <v>0</v>
      </c>
      <c r="J924" s="21">
        <f t="shared" si="891"/>
        <v>0</v>
      </c>
      <c r="K924" s="21">
        <f t="shared" si="892"/>
        <v>0</v>
      </c>
      <c r="L924" s="21">
        <v>0</v>
      </c>
      <c r="M924" s="21">
        <f t="shared" si="893"/>
        <v>0</v>
      </c>
      <c r="N924" s="35"/>
      <c r="O924" s="39"/>
      <c r="U924" s="41">
        <f t="shared" si="894"/>
        <v>0</v>
      </c>
      <c r="W924" s="41">
        <f t="shared" si="895"/>
        <v>0</v>
      </c>
      <c r="X924" s="41">
        <f t="shared" si="896"/>
        <v>0</v>
      </c>
      <c r="Y924" s="41">
        <f t="shared" si="897"/>
        <v>0</v>
      </c>
      <c r="Z924" s="41">
        <f t="shared" si="898"/>
        <v>0</v>
      </c>
      <c r="AA924" s="41">
        <f t="shared" si="899"/>
        <v>0</v>
      </c>
      <c r="AB924" s="41">
        <f t="shared" si="900"/>
        <v>0</v>
      </c>
      <c r="AC924" s="41">
        <f t="shared" si="901"/>
        <v>0</v>
      </c>
      <c r="AD924" s="31"/>
      <c r="AE924" s="21">
        <f t="shared" si="902"/>
        <v>0</v>
      </c>
      <c r="AF924" s="21">
        <f t="shared" si="903"/>
        <v>0</v>
      </c>
      <c r="AG924" s="21">
        <f t="shared" si="904"/>
        <v>0</v>
      </c>
      <c r="AI924" s="41">
        <v>21</v>
      </c>
      <c r="AJ924" s="41">
        <f>H924*0.760869565217391</f>
        <v>0</v>
      </c>
      <c r="AK924" s="41">
        <f>H924*(1-0.760869565217391)</f>
        <v>0</v>
      </c>
      <c r="AL924" s="42" t="s">
        <v>8</v>
      </c>
      <c r="AQ924" s="41">
        <f t="shared" si="905"/>
        <v>0</v>
      </c>
      <c r="AR924" s="41">
        <f t="shared" si="906"/>
        <v>0</v>
      </c>
      <c r="AS924" s="41">
        <f t="shared" si="907"/>
        <v>0</v>
      </c>
      <c r="AT924" s="44" t="s">
        <v>2473</v>
      </c>
      <c r="AU924" s="44" t="s">
        <v>2485</v>
      </c>
      <c r="AV924" s="31" t="s">
        <v>2486</v>
      </c>
      <c r="AX924" s="41">
        <f t="shared" si="908"/>
        <v>0</v>
      </c>
      <c r="AY924" s="41">
        <f t="shared" si="909"/>
        <v>0</v>
      </c>
      <c r="AZ924" s="41">
        <v>0</v>
      </c>
      <c r="BA924" s="41">
        <f t="shared" si="910"/>
        <v>0</v>
      </c>
      <c r="BC924" s="21">
        <f t="shared" si="911"/>
        <v>0</v>
      </c>
      <c r="BD924" s="21">
        <f t="shared" si="912"/>
        <v>0</v>
      </c>
      <c r="BE924" s="21">
        <f t="shared" si="913"/>
        <v>0</v>
      </c>
      <c r="BF924" s="21" t="s">
        <v>2492</v>
      </c>
      <c r="BG924" s="41" t="s">
        <v>1489</v>
      </c>
    </row>
    <row r="925" spans="1:59" x14ac:dyDescent="0.3">
      <c r="A925" s="4" t="s">
        <v>882</v>
      </c>
      <c r="B925" s="13"/>
      <c r="C925" s="13" t="s">
        <v>1502</v>
      </c>
      <c r="D925" s="101" t="s">
        <v>2265</v>
      </c>
      <c r="E925" s="102"/>
      <c r="F925" s="13" t="s">
        <v>2384</v>
      </c>
      <c r="G925" s="21">
        <v>27</v>
      </c>
      <c r="H925" s="21">
        <v>0</v>
      </c>
      <c r="I925" s="21">
        <f t="shared" si="890"/>
        <v>0</v>
      </c>
      <c r="J925" s="21">
        <f t="shared" si="891"/>
        <v>0</v>
      </c>
      <c r="K925" s="21">
        <f t="shared" si="892"/>
        <v>0</v>
      </c>
      <c r="L925" s="21">
        <v>0</v>
      </c>
      <c r="M925" s="21">
        <f t="shared" si="893"/>
        <v>0</v>
      </c>
      <c r="N925" s="35"/>
      <c r="O925" s="39"/>
      <c r="U925" s="41">
        <f t="shared" si="894"/>
        <v>0</v>
      </c>
      <c r="W925" s="41">
        <f t="shared" si="895"/>
        <v>0</v>
      </c>
      <c r="X925" s="41">
        <f t="shared" si="896"/>
        <v>0</v>
      </c>
      <c r="Y925" s="41">
        <f t="shared" si="897"/>
        <v>0</v>
      </c>
      <c r="Z925" s="41">
        <f t="shared" si="898"/>
        <v>0</v>
      </c>
      <c r="AA925" s="41">
        <f t="shared" si="899"/>
        <v>0</v>
      </c>
      <c r="AB925" s="41">
        <f t="shared" si="900"/>
        <v>0</v>
      </c>
      <c r="AC925" s="41">
        <f t="shared" si="901"/>
        <v>0</v>
      </c>
      <c r="AD925" s="31"/>
      <c r="AE925" s="21">
        <f t="shared" si="902"/>
        <v>0</v>
      </c>
      <c r="AF925" s="21">
        <f t="shared" si="903"/>
        <v>0</v>
      </c>
      <c r="AG925" s="21">
        <f t="shared" si="904"/>
        <v>0</v>
      </c>
      <c r="AI925" s="41">
        <v>21</v>
      </c>
      <c r="AJ925" s="41">
        <f>H925*0.597069597069597</f>
        <v>0</v>
      </c>
      <c r="AK925" s="41">
        <f>H925*(1-0.597069597069597)</f>
        <v>0</v>
      </c>
      <c r="AL925" s="42" t="s">
        <v>8</v>
      </c>
      <c r="AQ925" s="41">
        <f t="shared" si="905"/>
        <v>0</v>
      </c>
      <c r="AR925" s="41">
        <f t="shared" si="906"/>
        <v>0</v>
      </c>
      <c r="AS925" s="41">
        <f t="shared" si="907"/>
        <v>0</v>
      </c>
      <c r="AT925" s="44" t="s">
        <v>2473</v>
      </c>
      <c r="AU925" s="44" t="s">
        <v>2485</v>
      </c>
      <c r="AV925" s="31" t="s">
        <v>2486</v>
      </c>
      <c r="AX925" s="41">
        <f t="shared" si="908"/>
        <v>0</v>
      </c>
      <c r="AY925" s="41">
        <f t="shared" si="909"/>
        <v>0</v>
      </c>
      <c r="AZ925" s="41">
        <v>0</v>
      </c>
      <c r="BA925" s="41">
        <f t="shared" si="910"/>
        <v>0</v>
      </c>
      <c r="BC925" s="21">
        <f t="shared" si="911"/>
        <v>0</v>
      </c>
      <c r="BD925" s="21">
        <f t="shared" si="912"/>
        <v>0</v>
      </c>
      <c r="BE925" s="21">
        <f t="shared" si="913"/>
        <v>0</v>
      </c>
      <c r="BF925" s="21" t="s">
        <v>2492</v>
      </c>
      <c r="BG925" s="41" t="s">
        <v>1489</v>
      </c>
    </row>
    <row r="926" spans="1:59" x14ac:dyDescent="0.3">
      <c r="A926" s="4" t="s">
        <v>883</v>
      </c>
      <c r="B926" s="13"/>
      <c r="C926" s="13" t="s">
        <v>1503</v>
      </c>
      <c r="D926" s="101" t="s">
        <v>2266</v>
      </c>
      <c r="E926" s="102"/>
      <c r="F926" s="13" t="s">
        <v>2384</v>
      </c>
      <c r="G926" s="21">
        <v>24</v>
      </c>
      <c r="H926" s="21">
        <v>0</v>
      </c>
      <c r="I926" s="21">
        <f t="shared" si="890"/>
        <v>0</v>
      </c>
      <c r="J926" s="21">
        <f t="shared" si="891"/>
        <v>0</v>
      </c>
      <c r="K926" s="21">
        <f t="shared" si="892"/>
        <v>0</v>
      </c>
      <c r="L926" s="21">
        <v>0</v>
      </c>
      <c r="M926" s="21">
        <f t="shared" si="893"/>
        <v>0</v>
      </c>
      <c r="N926" s="35"/>
      <c r="O926" s="39"/>
      <c r="U926" s="41">
        <f t="shared" si="894"/>
        <v>0</v>
      </c>
      <c r="W926" s="41">
        <f t="shared" si="895"/>
        <v>0</v>
      </c>
      <c r="X926" s="41">
        <f t="shared" si="896"/>
        <v>0</v>
      </c>
      <c r="Y926" s="41">
        <f t="shared" si="897"/>
        <v>0</v>
      </c>
      <c r="Z926" s="41">
        <f t="shared" si="898"/>
        <v>0</v>
      </c>
      <c r="AA926" s="41">
        <f t="shared" si="899"/>
        <v>0</v>
      </c>
      <c r="AB926" s="41">
        <f t="shared" si="900"/>
        <v>0</v>
      </c>
      <c r="AC926" s="41">
        <f t="shared" si="901"/>
        <v>0</v>
      </c>
      <c r="AD926" s="31"/>
      <c r="AE926" s="21">
        <f t="shared" si="902"/>
        <v>0</v>
      </c>
      <c r="AF926" s="21">
        <f t="shared" si="903"/>
        <v>0</v>
      </c>
      <c r="AG926" s="21">
        <f t="shared" si="904"/>
        <v>0</v>
      </c>
      <c r="AI926" s="41">
        <v>21</v>
      </c>
      <c r="AJ926" s="41">
        <f>H926*0.166666666666667</f>
        <v>0</v>
      </c>
      <c r="AK926" s="41">
        <f>H926*(1-0.166666666666667)</f>
        <v>0</v>
      </c>
      <c r="AL926" s="42" t="s">
        <v>8</v>
      </c>
      <c r="AQ926" s="41">
        <f t="shared" si="905"/>
        <v>0</v>
      </c>
      <c r="AR926" s="41">
        <f t="shared" si="906"/>
        <v>0</v>
      </c>
      <c r="AS926" s="41">
        <f t="shared" si="907"/>
        <v>0</v>
      </c>
      <c r="AT926" s="44" t="s">
        <v>2473</v>
      </c>
      <c r="AU926" s="44" t="s">
        <v>2485</v>
      </c>
      <c r="AV926" s="31" t="s">
        <v>2486</v>
      </c>
      <c r="AX926" s="41">
        <f t="shared" si="908"/>
        <v>0</v>
      </c>
      <c r="AY926" s="41">
        <f t="shared" si="909"/>
        <v>0</v>
      </c>
      <c r="AZ926" s="41">
        <v>0</v>
      </c>
      <c r="BA926" s="41">
        <f t="shared" si="910"/>
        <v>0</v>
      </c>
      <c r="BC926" s="21">
        <f t="shared" si="911"/>
        <v>0</v>
      </c>
      <c r="BD926" s="21">
        <f t="shared" si="912"/>
        <v>0</v>
      </c>
      <c r="BE926" s="21">
        <f t="shared" si="913"/>
        <v>0</v>
      </c>
      <c r="BF926" s="21" t="s">
        <v>2492</v>
      </c>
      <c r="BG926" s="41" t="s">
        <v>1489</v>
      </c>
    </row>
    <row r="927" spans="1:59" x14ac:dyDescent="0.3">
      <c r="A927" s="4" t="s">
        <v>884</v>
      </c>
      <c r="B927" s="13"/>
      <c r="C927" s="13" t="s">
        <v>1504</v>
      </c>
      <c r="D927" s="101" t="s">
        <v>2267</v>
      </c>
      <c r="E927" s="102"/>
      <c r="F927" s="13" t="s">
        <v>2384</v>
      </c>
      <c r="G927" s="21">
        <v>11</v>
      </c>
      <c r="H927" s="21">
        <v>0</v>
      </c>
      <c r="I927" s="21">
        <f t="shared" si="890"/>
        <v>0</v>
      </c>
      <c r="J927" s="21">
        <f t="shared" si="891"/>
        <v>0</v>
      </c>
      <c r="K927" s="21">
        <f t="shared" si="892"/>
        <v>0</v>
      </c>
      <c r="L927" s="21">
        <v>0</v>
      </c>
      <c r="M927" s="21">
        <f t="shared" si="893"/>
        <v>0</v>
      </c>
      <c r="N927" s="35"/>
      <c r="O927" s="39"/>
      <c r="U927" s="41">
        <f t="shared" si="894"/>
        <v>0</v>
      </c>
      <c r="W927" s="41">
        <f t="shared" si="895"/>
        <v>0</v>
      </c>
      <c r="X927" s="41">
        <f t="shared" si="896"/>
        <v>0</v>
      </c>
      <c r="Y927" s="41">
        <f t="shared" si="897"/>
        <v>0</v>
      </c>
      <c r="Z927" s="41">
        <f t="shared" si="898"/>
        <v>0</v>
      </c>
      <c r="AA927" s="41">
        <f t="shared" si="899"/>
        <v>0</v>
      </c>
      <c r="AB927" s="41">
        <f t="shared" si="900"/>
        <v>0</v>
      </c>
      <c r="AC927" s="41">
        <f t="shared" si="901"/>
        <v>0</v>
      </c>
      <c r="AD927" s="31"/>
      <c r="AE927" s="21">
        <f t="shared" si="902"/>
        <v>0</v>
      </c>
      <c r="AF927" s="21">
        <f t="shared" si="903"/>
        <v>0</v>
      </c>
      <c r="AG927" s="21">
        <f t="shared" si="904"/>
        <v>0</v>
      </c>
      <c r="AI927" s="41">
        <v>21</v>
      </c>
      <c r="AJ927" s="41">
        <f>H927*0.342105263157895</f>
        <v>0</v>
      </c>
      <c r="AK927" s="41">
        <f>H927*(1-0.342105263157895)</f>
        <v>0</v>
      </c>
      <c r="AL927" s="42" t="s">
        <v>8</v>
      </c>
      <c r="AQ927" s="41">
        <f t="shared" si="905"/>
        <v>0</v>
      </c>
      <c r="AR927" s="41">
        <f t="shared" si="906"/>
        <v>0</v>
      </c>
      <c r="AS927" s="41">
        <f t="shared" si="907"/>
        <v>0</v>
      </c>
      <c r="AT927" s="44" t="s">
        <v>2473</v>
      </c>
      <c r="AU927" s="44" t="s">
        <v>2485</v>
      </c>
      <c r="AV927" s="31" t="s">
        <v>2486</v>
      </c>
      <c r="AX927" s="41">
        <f t="shared" si="908"/>
        <v>0</v>
      </c>
      <c r="AY927" s="41">
        <f t="shared" si="909"/>
        <v>0</v>
      </c>
      <c r="AZ927" s="41">
        <v>0</v>
      </c>
      <c r="BA927" s="41">
        <f t="shared" si="910"/>
        <v>0</v>
      </c>
      <c r="BC927" s="21">
        <f t="shared" si="911"/>
        <v>0</v>
      </c>
      <c r="BD927" s="21">
        <f t="shared" si="912"/>
        <v>0</v>
      </c>
      <c r="BE927" s="21">
        <f t="shared" si="913"/>
        <v>0</v>
      </c>
      <c r="BF927" s="21" t="s">
        <v>2492</v>
      </c>
      <c r="BG927" s="41" t="s">
        <v>1489</v>
      </c>
    </row>
    <row r="928" spans="1:59" x14ac:dyDescent="0.3">
      <c r="A928" s="4" t="s">
        <v>885</v>
      </c>
      <c r="B928" s="13"/>
      <c r="C928" s="13" t="s">
        <v>1505</v>
      </c>
      <c r="D928" s="101" t="s">
        <v>2268</v>
      </c>
      <c r="E928" s="102"/>
      <c r="F928" s="13" t="s">
        <v>2384</v>
      </c>
      <c r="G928" s="21">
        <v>6</v>
      </c>
      <c r="H928" s="21">
        <v>0</v>
      </c>
      <c r="I928" s="21">
        <f t="shared" si="890"/>
        <v>0</v>
      </c>
      <c r="J928" s="21">
        <f t="shared" si="891"/>
        <v>0</v>
      </c>
      <c r="K928" s="21">
        <f t="shared" si="892"/>
        <v>0</v>
      </c>
      <c r="L928" s="21">
        <v>0</v>
      </c>
      <c r="M928" s="21">
        <f t="shared" si="893"/>
        <v>0</v>
      </c>
      <c r="N928" s="35"/>
      <c r="O928" s="39"/>
      <c r="U928" s="41">
        <f t="shared" si="894"/>
        <v>0</v>
      </c>
      <c r="W928" s="41">
        <f t="shared" si="895"/>
        <v>0</v>
      </c>
      <c r="X928" s="41">
        <f t="shared" si="896"/>
        <v>0</v>
      </c>
      <c r="Y928" s="41">
        <f t="shared" si="897"/>
        <v>0</v>
      </c>
      <c r="Z928" s="41">
        <f t="shared" si="898"/>
        <v>0</v>
      </c>
      <c r="AA928" s="41">
        <f t="shared" si="899"/>
        <v>0</v>
      </c>
      <c r="AB928" s="41">
        <f t="shared" si="900"/>
        <v>0</v>
      </c>
      <c r="AC928" s="41">
        <f t="shared" si="901"/>
        <v>0</v>
      </c>
      <c r="AD928" s="31"/>
      <c r="AE928" s="21">
        <f t="shared" si="902"/>
        <v>0</v>
      </c>
      <c r="AF928" s="21">
        <f t="shared" si="903"/>
        <v>0</v>
      </c>
      <c r="AG928" s="21">
        <f t="shared" si="904"/>
        <v>0</v>
      </c>
      <c r="AI928" s="41">
        <v>21</v>
      </c>
      <c r="AJ928" s="41">
        <f>H928*0.423076923076923</f>
        <v>0</v>
      </c>
      <c r="AK928" s="41">
        <f>H928*(1-0.423076923076923)</f>
        <v>0</v>
      </c>
      <c r="AL928" s="42" t="s">
        <v>8</v>
      </c>
      <c r="AQ928" s="41">
        <f t="shared" si="905"/>
        <v>0</v>
      </c>
      <c r="AR928" s="41">
        <f t="shared" si="906"/>
        <v>0</v>
      </c>
      <c r="AS928" s="41">
        <f t="shared" si="907"/>
        <v>0</v>
      </c>
      <c r="AT928" s="44" t="s">
        <v>2473</v>
      </c>
      <c r="AU928" s="44" t="s">
        <v>2485</v>
      </c>
      <c r="AV928" s="31" t="s">
        <v>2486</v>
      </c>
      <c r="AX928" s="41">
        <f t="shared" si="908"/>
        <v>0</v>
      </c>
      <c r="AY928" s="41">
        <f t="shared" si="909"/>
        <v>0</v>
      </c>
      <c r="AZ928" s="41">
        <v>0</v>
      </c>
      <c r="BA928" s="41">
        <f t="shared" si="910"/>
        <v>0</v>
      </c>
      <c r="BC928" s="21">
        <f t="shared" si="911"/>
        <v>0</v>
      </c>
      <c r="BD928" s="21">
        <f t="shared" si="912"/>
        <v>0</v>
      </c>
      <c r="BE928" s="21">
        <f t="shared" si="913"/>
        <v>0</v>
      </c>
      <c r="BF928" s="21" t="s">
        <v>2492</v>
      </c>
      <c r="BG928" s="41" t="s">
        <v>1489</v>
      </c>
    </row>
    <row r="929" spans="1:59" x14ac:dyDescent="0.3">
      <c r="A929" s="4" t="s">
        <v>886</v>
      </c>
      <c r="B929" s="13"/>
      <c r="C929" s="13" t="s">
        <v>1506</v>
      </c>
      <c r="D929" s="101" t="s">
        <v>2269</v>
      </c>
      <c r="E929" s="102"/>
      <c r="F929" s="13" t="s">
        <v>2384</v>
      </c>
      <c r="G929" s="21">
        <v>1</v>
      </c>
      <c r="H929" s="21">
        <v>0</v>
      </c>
      <c r="I929" s="21">
        <f t="shared" si="890"/>
        <v>0</v>
      </c>
      <c r="J929" s="21">
        <f t="shared" si="891"/>
        <v>0</v>
      </c>
      <c r="K929" s="21">
        <f t="shared" si="892"/>
        <v>0</v>
      </c>
      <c r="L929" s="21">
        <v>0</v>
      </c>
      <c r="M929" s="21">
        <f t="shared" si="893"/>
        <v>0</v>
      </c>
      <c r="N929" s="35"/>
      <c r="O929" s="39"/>
      <c r="U929" s="41">
        <f t="shared" si="894"/>
        <v>0</v>
      </c>
      <c r="W929" s="41">
        <f t="shared" si="895"/>
        <v>0</v>
      </c>
      <c r="X929" s="41">
        <f t="shared" si="896"/>
        <v>0</v>
      </c>
      <c r="Y929" s="41">
        <f t="shared" si="897"/>
        <v>0</v>
      </c>
      <c r="Z929" s="41">
        <f t="shared" si="898"/>
        <v>0</v>
      </c>
      <c r="AA929" s="41">
        <f t="shared" si="899"/>
        <v>0</v>
      </c>
      <c r="AB929" s="41">
        <f t="shared" si="900"/>
        <v>0</v>
      </c>
      <c r="AC929" s="41">
        <f t="shared" si="901"/>
        <v>0</v>
      </c>
      <c r="AD929" s="31"/>
      <c r="AE929" s="21">
        <f t="shared" si="902"/>
        <v>0</v>
      </c>
      <c r="AF929" s="21">
        <f t="shared" si="903"/>
        <v>0</v>
      </c>
      <c r="AG929" s="21">
        <f t="shared" si="904"/>
        <v>0</v>
      </c>
      <c r="AI929" s="41">
        <v>21</v>
      </c>
      <c r="AJ929" s="41">
        <f>H929*0.810810810810811</f>
        <v>0</v>
      </c>
      <c r="AK929" s="41">
        <f>H929*(1-0.810810810810811)</f>
        <v>0</v>
      </c>
      <c r="AL929" s="42" t="s">
        <v>8</v>
      </c>
      <c r="AQ929" s="41">
        <f t="shared" si="905"/>
        <v>0</v>
      </c>
      <c r="AR929" s="41">
        <f t="shared" si="906"/>
        <v>0</v>
      </c>
      <c r="AS929" s="41">
        <f t="shared" si="907"/>
        <v>0</v>
      </c>
      <c r="AT929" s="44" t="s">
        <v>2473</v>
      </c>
      <c r="AU929" s="44" t="s">
        <v>2485</v>
      </c>
      <c r="AV929" s="31" t="s">
        <v>2486</v>
      </c>
      <c r="AX929" s="41">
        <f t="shared" si="908"/>
        <v>0</v>
      </c>
      <c r="AY929" s="41">
        <f t="shared" si="909"/>
        <v>0</v>
      </c>
      <c r="AZ929" s="41">
        <v>0</v>
      </c>
      <c r="BA929" s="41">
        <f t="shared" si="910"/>
        <v>0</v>
      </c>
      <c r="BC929" s="21">
        <f t="shared" si="911"/>
        <v>0</v>
      </c>
      <c r="BD929" s="21">
        <f t="shared" si="912"/>
        <v>0</v>
      </c>
      <c r="BE929" s="21">
        <f t="shared" si="913"/>
        <v>0</v>
      </c>
      <c r="BF929" s="21" t="s">
        <v>2492</v>
      </c>
      <c r="BG929" s="41" t="s">
        <v>1489</v>
      </c>
    </row>
    <row r="930" spans="1:59" x14ac:dyDescent="0.3">
      <c r="A930" s="4" t="s">
        <v>887</v>
      </c>
      <c r="B930" s="13"/>
      <c r="C930" s="13" t="s">
        <v>1507</v>
      </c>
      <c r="D930" s="101" t="s">
        <v>2270</v>
      </c>
      <c r="E930" s="102"/>
      <c r="F930" s="13" t="s">
        <v>2384</v>
      </c>
      <c r="G930" s="21">
        <v>1</v>
      </c>
      <c r="H930" s="21">
        <v>0</v>
      </c>
      <c r="I930" s="21">
        <f t="shared" si="890"/>
        <v>0</v>
      </c>
      <c r="J930" s="21">
        <f t="shared" si="891"/>
        <v>0</v>
      </c>
      <c r="K930" s="21">
        <f t="shared" si="892"/>
        <v>0</v>
      </c>
      <c r="L930" s="21">
        <v>0</v>
      </c>
      <c r="M930" s="21">
        <f t="shared" si="893"/>
        <v>0</v>
      </c>
      <c r="N930" s="35"/>
      <c r="O930" s="39"/>
      <c r="U930" s="41">
        <f t="shared" si="894"/>
        <v>0</v>
      </c>
      <c r="W930" s="41">
        <f t="shared" si="895"/>
        <v>0</v>
      </c>
      <c r="X930" s="41">
        <f t="shared" si="896"/>
        <v>0</v>
      </c>
      <c r="Y930" s="41">
        <f t="shared" si="897"/>
        <v>0</v>
      </c>
      <c r="Z930" s="41">
        <f t="shared" si="898"/>
        <v>0</v>
      </c>
      <c r="AA930" s="41">
        <f t="shared" si="899"/>
        <v>0</v>
      </c>
      <c r="AB930" s="41">
        <f t="shared" si="900"/>
        <v>0</v>
      </c>
      <c r="AC930" s="41">
        <f t="shared" si="901"/>
        <v>0</v>
      </c>
      <c r="AD930" s="31"/>
      <c r="AE930" s="21">
        <f t="shared" si="902"/>
        <v>0</v>
      </c>
      <c r="AF930" s="21">
        <f t="shared" si="903"/>
        <v>0</v>
      </c>
      <c r="AG930" s="21">
        <f t="shared" si="904"/>
        <v>0</v>
      </c>
      <c r="AI930" s="41">
        <v>21</v>
      </c>
      <c r="AJ930" s="41">
        <f>H930*0.780701754385965</f>
        <v>0</v>
      </c>
      <c r="AK930" s="41">
        <f>H930*(1-0.780701754385965)</f>
        <v>0</v>
      </c>
      <c r="AL930" s="42" t="s">
        <v>8</v>
      </c>
      <c r="AQ930" s="41">
        <f t="shared" si="905"/>
        <v>0</v>
      </c>
      <c r="AR930" s="41">
        <f t="shared" si="906"/>
        <v>0</v>
      </c>
      <c r="AS930" s="41">
        <f t="shared" si="907"/>
        <v>0</v>
      </c>
      <c r="AT930" s="44" t="s">
        <v>2473</v>
      </c>
      <c r="AU930" s="44" t="s">
        <v>2485</v>
      </c>
      <c r="AV930" s="31" t="s">
        <v>2486</v>
      </c>
      <c r="AX930" s="41">
        <f t="shared" si="908"/>
        <v>0</v>
      </c>
      <c r="AY930" s="41">
        <f t="shared" si="909"/>
        <v>0</v>
      </c>
      <c r="AZ930" s="41">
        <v>0</v>
      </c>
      <c r="BA930" s="41">
        <f t="shared" si="910"/>
        <v>0</v>
      </c>
      <c r="BC930" s="21">
        <f t="shared" si="911"/>
        <v>0</v>
      </c>
      <c r="BD930" s="21">
        <f t="shared" si="912"/>
        <v>0</v>
      </c>
      <c r="BE930" s="21">
        <f t="shared" si="913"/>
        <v>0</v>
      </c>
      <c r="BF930" s="21" t="s">
        <v>2492</v>
      </c>
      <c r="BG930" s="41" t="s">
        <v>1489</v>
      </c>
    </row>
    <row r="931" spans="1:59" x14ac:dyDescent="0.3">
      <c r="A931" s="4" t="s">
        <v>888</v>
      </c>
      <c r="B931" s="13"/>
      <c r="C931" s="13" t="s">
        <v>1508</v>
      </c>
      <c r="D931" s="101" t="s">
        <v>2271</v>
      </c>
      <c r="E931" s="102"/>
      <c r="F931" s="13" t="s">
        <v>2384</v>
      </c>
      <c r="G931" s="21">
        <v>1</v>
      </c>
      <c r="H931" s="21">
        <v>0</v>
      </c>
      <c r="I931" s="21">
        <f t="shared" si="890"/>
        <v>0</v>
      </c>
      <c r="J931" s="21">
        <f t="shared" si="891"/>
        <v>0</v>
      </c>
      <c r="K931" s="21">
        <f t="shared" si="892"/>
        <v>0</v>
      </c>
      <c r="L931" s="21">
        <v>0</v>
      </c>
      <c r="M931" s="21">
        <f t="shared" si="893"/>
        <v>0</v>
      </c>
      <c r="N931" s="35"/>
      <c r="O931" s="39"/>
      <c r="U931" s="41">
        <f t="shared" si="894"/>
        <v>0</v>
      </c>
      <c r="W931" s="41">
        <f t="shared" si="895"/>
        <v>0</v>
      </c>
      <c r="X931" s="41">
        <f t="shared" si="896"/>
        <v>0</v>
      </c>
      <c r="Y931" s="41">
        <f t="shared" si="897"/>
        <v>0</v>
      </c>
      <c r="Z931" s="41">
        <f t="shared" si="898"/>
        <v>0</v>
      </c>
      <c r="AA931" s="41">
        <f t="shared" si="899"/>
        <v>0</v>
      </c>
      <c r="AB931" s="41">
        <f t="shared" si="900"/>
        <v>0</v>
      </c>
      <c r="AC931" s="41">
        <f t="shared" si="901"/>
        <v>0</v>
      </c>
      <c r="AD931" s="31"/>
      <c r="AE931" s="21">
        <f t="shared" si="902"/>
        <v>0</v>
      </c>
      <c r="AF931" s="21">
        <f t="shared" si="903"/>
        <v>0</v>
      </c>
      <c r="AG931" s="21">
        <f t="shared" si="904"/>
        <v>0</v>
      </c>
      <c r="AI931" s="41">
        <v>21</v>
      </c>
      <c r="AJ931" s="41">
        <f>H931*0.861044834230151</f>
        <v>0</v>
      </c>
      <c r="AK931" s="41">
        <f>H931*(1-0.861044834230151)</f>
        <v>0</v>
      </c>
      <c r="AL931" s="42" t="s">
        <v>8</v>
      </c>
      <c r="AQ931" s="41">
        <f t="shared" si="905"/>
        <v>0</v>
      </c>
      <c r="AR931" s="41">
        <f t="shared" si="906"/>
        <v>0</v>
      </c>
      <c r="AS931" s="41">
        <f t="shared" si="907"/>
        <v>0</v>
      </c>
      <c r="AT931" s="44" t="s">
        <v>2473</v>
      </c>
      <c r="AU931" s="44" t="s">
        <v>2485</v>
      </c>
      <c r="AV931" s="31" t="s">
        <v>2486</v>
      </c>
      <c r="AX931" s="41">
        <f t="shared" si="908"/>
        <v>0</v>
      </c>
      <c r="AY931" s="41">
        <f t="shared" si="909"/>
        <v>0</v>
      </c>
      <c r="AZ931" s="41">
        <v>0</v>
      </c>
      <c r="BA931" s="41">
        <f t="shared" si="910"/>
        <v>0</v>
      </c>
      <c r="BC931" s="21">
        <f t="shared" si="911"/>
        <v>0</v>
      </c>
      <c r="BD931" s="21">
        <f t="shared" si="912"/>
        <v>0</v>
      </c>
      <c r="BE931" s="21">
        <f t="shared" si="913"/>
        <v>0</v>
      </c>
      <c r="BF931" s="21" t="s">
        <v>2492</v>
      </c>
      <c r="BG931" s="41" t="s">
        <v>1489</v>
      </c>
    </row>
    <row r="932" spans="1:59" x14ac:dyDescent="0.3">
      <c r="A932" s="4" t="s">
        <v>889</v>
      </c>
      <c r="B932" s="13"/>
      <c r="C932" s="13" t="s">
        <v>1509</v>
      </c>
      <c r="D932" s="101" t="s">
        <v>2272</v>
      </c>
      <c r="E932" s="102"/>
      <c r="F932" s="13" t="s">
        <v>2385</v>
      </c>
      <c r="G932" s="21">
        <v>1</v>
      </c>
      <c r="H932" s="21">
        <v>0</v>
      </c>
      <c r="I932" s="21">
        <f t="shared" si="890"/>
        <v>0</v>
      </c>
      <c r="J932" s="21">
        <f t="shared" si="891"/>
        <v>0</v>
      </c>
      <c r="K932" s="21">
        <f t="shared" si="892"/>
        <v>0</v>
      </c>
      <c r="L932" s="21">
        <v>0</v>
      </c>
      <c r="M932" s="21">
        <f t="shared" si="893"/>
        <v>0</v>
      </c>
      <c r="N932" s="35"/>
      <c r="O932" s="39"/>
      <c r="U932" s="41">
        <f t="shared" si="894"/>
        <v>0</v>
      </c>
      <c r="W932" s="41">
        <f t="shared" si="895"/>
        <v>0</v>
      </c>
      <c r="X932" s="41">
        <f t="shared" si="896"/>
        <v>0</v>
      </c>
      <c r="Y932" s="41">
        <f t="shared" si="897"/>
        <v>0</v>
      </c>
      <c r="Z932" s="41">
        <f t="shared" si="898"/>
        <v>0</v>
      </c>
      <c r="AA932" s="41">
        <f t="shared" si="899"/>
        <v>0</v>
      </c>
      <c r="AB932" s="41">
        <f t="shared" si="900"/>
        <v>0</v>
      </c>
      <c r="AC932" s="41">
        <f t="shared" si="901"/>
        <v>0</v>
      </c>
      <c r="AD932" s="31"/>
      <c r="AE932" s="21">
        <f t="shared" si="902"/>
        <v>0</v>
      </c>
      <c r="AF932" s="21">
        <f t="shared" si="903"/>
        <v>0</v>
      </c>
      <c r="AG932" s="21">
        <f t="shared" si="904"/>
        <v>0</v>
      </c>
      <c r="AI932" s="41">
        <v>21</v>
      </c>
      <c r="AJ932" s="41">
        <f>H932*0.9</f>
        <v>0</v>
      </c>
      <c r="AK932" s="41">
        <f>H932*(1-0.9)</f>
        <v>0</v>
      </c>
      <c r="AL932" s="42" t="s">
        <v>8</v>
      </c>
      <c r="AQ932" s="41">
        <f t="shared" si="905"/>
        <v>0</v>
      </c>
      <c r="AR932" s="41">
        <f t="shared" si="906"/>
        <v>0</v>
      </c>
      <c r="AS932" s="41">
        <f t="shared" si="907"/>
        <v>0</v>
      </c>
      <c r="AT932" s="44" t="s">
        <v>2473</v>
      </c>
      <c r="AU932" s="44" t="s">
        <v>2485</v>
      </c>
      <c r="AV932" s="31" t="s">
        <v>2486</v>
      </c>
      <c r="AX932" s="41">
        <f t="shared" si="908"/>
        <v>0</v>
      </c>
      <c r="AY932" s="41">
        <f t="shared" si="909"/>
        <v>0</v>
      </c>
      <c r="AZ932" s="41">
        <v>0</v>
      </c>
      <c r="BA932" s="41">
        <f t="shared" si="910"/>
        <v>0</v>
      </c>
      <c r="BC932" s="21">
        <f t="shared" si="911"/>
        <v>0</v>
      </c>
      <c r="BD932" s="21">
        <f t="shared" si="912"/>
        <v>0</v>
      </c>
      <c r="BE932" s="21">
        <f t="shared" si="913"/>
        <v>0</v>
      </c>
      <c r="BF932" s="21" t="s">
        <v>2492</v>
      </c>
      <c r="BG932" s="41" t="s">
        <v>1489</v>
      </c>
    </row>
    <row r="933" spans="1:59" x14ac:dyDescent="0.3">
      <c r="A933" s="4" t="s">
        <v>890</v>
      </c>
      <c r="B933" s="13"/>
      <c r="C933" s="13" t="s">
        <v>1510</v>
      </c>
      <c r="D933" s="101" t="s">
        <v>2273</v>
      </c>
      <c r="E933" s="102"/>
      <c r="F933" s="13" t="s">
        <v>2384</v>
      </c>
      <c r="G933" s="21">
        <v>1</v>
      </c>
      <c r="H933" s="21">
        <v>0</v>
      </c>
      <c r="I933" s="21">
        <f t="shared" si="890"/>
        <v>0</v>
      </c>
      <c r="J933" s="21">
        <f t="shared" si="891"/>
        <v>0</v>
      </c>
      <c r="K933" s="21">
        <f t="shared" si="892"/>
        <v>0</v>
      </c>
      <c r="L933" s="21">
        <v>0</v>
      </c>
      <c r="M933" s="21">
        <f t="shared" si="893"/>
        <v>0</v>
      </c>
      <c r="N933" s="35"/>
      <c r="O933" s="39"/>
      <c r="U933" s="41">
        <f t="shared" si="894"/>
        <v>0</v>
      </c>
      <c r="W933" s="41">
        <f t="shared" si="895"/>
        <v>0</v>
      </c>
      <c r="X933" s="41">
        <f t="shared" si="896"/>
        <v>0</v>
      </c>
      <c r="Y933" s="41">
        <f t="shared" si="897"/>
        <v>0</v>
      </c>
      <c r="Z933" s="41">
        <f t="shared" si="898"/>
        <v>0</v>
      </c>
      <c r="AA933" s="41">
        <f t="shared" si="899"/>
        <v>0</v>
      </c>
      <c r="AB933" s="41">
        <f t="shared" si="900"/>
        <v>0</v>
      </c>
      <c r="AC933" s="41">
        <f t="shared" si="901"/>
        <v>0</v>
      </c>
      <c r="AD933" s="31"/>
      <c r="AE933" s="21">
        <f t="shared" si="902"/>
        <v>0</v>
      </c>
      <c r="AF933" s="21">
        <f t="shared" si="903"/>
        <v>0</v>
      </c>
      <c r="AG933" s="21">
        <f t="shared" si="904"/>
        <v>0</v>
      </c>
      <c r="AI933" s="41">
        <v>21</v>
      </c>
      <c r="AJ933" s="41">
        <f>H933*0.476190476190476</f>
        <v>0</v>
      </c>
      <c r="AK933" s="41">
        <f>H933*(1-0.476190476190476)</f>
        <v>0</v>
      </c>
      <c r="AL933" s="42" t="s">
        <v>8</v>
      </c>
      <c r="AQ933" s="41">
        <f t="shared" si="905"/>
        <v>0</v>
      </c>
      <c r="AR933" s="41">
        <f t="shared" si="906"/>
        <v>0</v>
      </c>
      <c r="AS933" s="41">
        <f t="shared" si="907"/>
        <v>0</v>
      </c>
      <c r="AT933" s="44" t="s">
        <v>2473</v>
      </c>
      <c r="AU933" s="44" t="s">
        <v>2485</v>
      </c>
      <c r="AV933" s="31" t="s">
        <v>2486</v>
      </c>
      <c r="AX933" s="41">
        <f t="shared" si="908"/>
        <v>0</v>
      </c>
      <c r="AY933" s="41">
        <f t="shared" si="909"/>
        <v>0</v>
      </c>
      <c r="AZ933" s="41">
        <v>0</v>
      </c>
      <c r="BA933" s="41">
        <f t="shared" si="910"/>
        <v>0</v>
      </c>
      <c r="BC933" s="21">
        <f t="shared" si="911"/>
        <v>0</v>
      </c>
      <c r="BD933" s="21">
        <f t="shared" si="912"/>
        <v>0</v>
      </c>
      <c r="BE933" s="21">
        <f t="shared" si="913"/>
        <v>0</v>
      </c>
      <c r="BF933" s="21" t="s">
        <v>2492</v>
      </c>
      <c r="BG933" s="41" t="s">
        <v>1489</v>
      </c>
    </row>
    <row r="934" spans="1:59" x14ac:dyDescent="0.3">
      <c r="A934" s="4" t="s">
        <v>891</v>
      </c>
      <c r="B934" s="13"/>
      <c r="C934" s="13" t="s">
        <v>1511</v>
      </c>
      <c r="D934" s="101" t="s">
        <v>2274</v>
      </c>
      <c r="E934" s="102"/>
      <c r="F934" s="13" t="s">
        <v>2385</v>
      </c>
      <c r="G934" s="21">
        <v>300</v>
      </c>
      <c r="H934" s="21">
        <v>0</v>
      </c>
      <c r="I934" s="21">
        <f t="shared" si="890"/>
        <v>0</v>
      </c>
      <c r="J934" s="21">
        <f t="shared" si="891"/>
        <v>0</v>
      </c>
      <c r="K934" s="21">
        <f t="shared" si="892"/>
        <v>0</v>
      </c>
      <c r="L934" s="21">
        <v>0</v>
      </c>
      <c r="M934" s="21">
        <f t="shared" si="893"/>
        <v>0</v>
      </c>
      <c r="N934" s="35"/>
      <c r="O934" s="39"/>
      <c r="U934" s="41">
        <f t="shared" si="894"/>
        <v>0</v>
      </c>
      <c r="W934" s="41">
        <f t="shared" si="895"/>
        <v>0</v>
      </c>
      <c r="X934" s="41">
        <f t="shared" si="896"/>
        <v>0</v>
      </c>
      <c r="Y934" s="41">
        <f t="shared" si="897"/>
        <v>0</v>
      </c>
      <c r="Z934" s="41">
        <f t="shared" si="898"/>
        <v>0</v>
      </c>
      <c r="AA934" s="41">
        <f t="shared" si="899"/>
        <v>0</v>
      </c>
      <c r="AB934" s="41">
        <f t="shared" si="900"/>
        <v>0</v>
      </c>
      <c r="AC934" s="41">
        <f t="shared" si="901"/>
        <v>0</v>
      </c>
      <c r="AD934" s="31"/>
      <c r="AE934" s="21">
        <f t="shared" si="902"/>
        <v>0</v>
      </c>
      <c r="AF934" s="21">
        <f t="shared" si="903"/>
        <v>0</v>
      </c>
      <c r="AG934" s="21">
        <f t="shared" si="904"/>
        <v>0</v>
      </c>
      <c r="AI934" s="41">
        <v>21</v>
      </c>
      <c r="AJ934" s="41">
        <f>H934*0.285714285714286</f>
        <v>0</v>
      </c>
      <c r="AK934" s="41">
        <f>H934*(1-0.285714285714286)</f>
        <v>0</v>
      </c>
      <c r="AL934" s="42" t="s">
        <v>8</v>
      </c>
      <c r="AQ934" s="41">
        <f t="shared" si="905"/>
        <v>0</v>
      </c>
      <c r="AR934" s="41">
        <f t="shared" si="906"/>
        <v>0</v>
      </c>
      <c r="AS934" s="41">
        <f t="shared" si="907"/>
        <v>0</v>
      </c>
      <c r="AT934" s="44" t="s">
        <v>2473</v>
      </c>
      <c r="AU934" s="44" t="s">
        <v>2485</v>
      </c>
      <c r="AV934" s="31" t="s">
        <v>2486</v>
      </c>
      <c r="AX934" s="41">
        <f t="shared" si="908"/>
        <v>0</v>
      </c>
      <c r="AY934" s="41">
        <f t="shared" si="909"/>
        <v>0</v>
      </c>
      <c r="AZ934" s="41">
        <v>0</v>
      </c>
      <c r="BA934" s="41">
        <f t="shared" si="910"/>
        <v>0</v>
      </c>
      <c r="BC934" s="21">
        <f t="shared" si="911"/>
        <v>0</v>
      </c>
      <c r="BD934" s="21">
        <f t="shared" si="912"/>
        <v>0</v>
      </c>
      <c r="BE934" s="21">
        <f t="shared" si="913"/>
        <v>0</v>
      </c>
      <c r="BF934" s="21" t="s">
        <v>2492</v>
      </c>
      <c r="BG934" s="41" t="s">
        <v>1489</v>
      </c>
    </row>
    <row r="935" spans="1:59" x14ac:dyDescent="0.3">
      <c r="A935" s="4" t="s">
        <v>892</v>
      </c>
      <c r="B935" s="13"/>
      <c r="C935" s="13" t="s">
        <v>1512</v>
      </c>
      <c r="D935" s="101" t="s">
        <v>2275</v>
      </c>
      <c r="E935" s="102"/>
      <c r="F935" s="13" t="s">
        <v>2385</v>
      </c>
      <c r="G935" s="21">
        <v>200</v>
      </c>
      <c r="H935" s="21">
        <v>0</v>
      </c>
      <c r="I935" s="21">
        <f t="shared" si="890"/>
        <v>0</v>
      </c>
      <c r="J935" s="21">
        <f t="shared" si="891"/>
        <v>0</v>
      </c>
      <c r="K935" s="21">
        <f t="shared" si="892"/>
        <v>0</v>
      </c>
      <c r="L935" s="21">
        <v>0</v>
      </c>
      <c r="M935" s="21">
        <f t="shared" si="893"/>
        <v>0</v>
      </c>
      <c r="N935" s="35"/>
      <c r="O935" s="39"/>
      <c r="U935" s="41">
        <f t="shared" si="894"/>
        <v>0</v>
      </c>
      <c r="W935" s="41">
        <f t="shared" si="895"/>
        <v>0</v>
      </c>
      <c r="X935" s="41">
        <f t="shared" si="896"/>
        <v>0</v>
      </c>
      <c r="Y935" s="41">
        <f t="shared" si="897"/>
        <v>0</v>
      </c>
      <c r="Z935" s="41">
        <f t="shared" si="898"/>
        <v>0</v>
      </c>
      <c r="AA935" s="41">
        <f t="shared" si="899"/>
        <v>0</v>
      </c>
      <c r="AB935" s="41">
        <f t="shared" si="900"/>
        <v>0</v>
      </c>
      <c r="AC935" s="41">
        <f t="shared" si="901"/>
        <v>0</v>
      </c>
      <c r="AD935" s="31"/>
      <c r="AE935" s="21">
        <f t="shared" si="902"/>
        <v>0</v>
      </c>
      <c r="AF935" s="21">
        <f t="shared" si="903"/>
        <v>0</v>
      </c>
      <c r="AG935" s="21">
        <f t="shared" si="904"/>
        <v>0</v>
      </c>
      <c r="AI935" s="41">
        <v>21</v>
      </c>
      <c r="AJ935" s="41">
        <f>H935*0.590163934426229</f>
        <v>0</v>
      </c>
      <c r="AK935" s="41">
        <f>H935*(1-0.590163934426229)</f>
        <v>0</v>
      </c>
      <c r="AL935" s="42" t="s">
        <v>8</v>
      </c>
      <c r="AQ935" s="41">
        <f t="shared" si="905"/>
        <v>0</v>
      </c>
      <c r="AR935" s="41">
        <f t="shared" si="906"/>
        <v>0</v>
      </c>
      <c r="AS935" s="41">
        <f t="shared" si="907"/>
        <v>0</v>
      </c>
      <c r="AT935" s="44" t="s">
        <v>2473</v>
      </c>
      <c r="AU935" s="44" t="s">
        <v>2485</v>
      </c>
      <c r="AV935" s="31" t="s">
        <v>2486</v>
      </c>
      <c r="AX935" s="41">
        <f t="shared" si="908"/>
        <v>0</v>
      </c>
      <c r="AY935" s="41">
        <f t="shared" si="909"/>
        <v>0</v>
      </c>
      <c r="AZ935" s="41">
        <v>0</v>
      </c>
      <c r="BA935" s="41">
        <f t="shared" si="910"/>
        <v>0</v>
      </c>
      <c r="BC935" s="21">
        <f t="shared" si="911"/>
        <v>0</v>
      </c>
      <c r="BD935" s="21">
        <f t="shared" si="912"/>
        <v>0</v>
      </c>
      <c r="BE935" s="21">
        <f t="shared" si="913"/>
        <v>0</v>
      </c>
      <c r="BF935" s="21" t="s">
        <v>2492</v>
      </c>
      <c r="BG935" s="41" t="s">
        <v>1489</v>
      </c>
    </row>
    <row r="936" spans="1:59" x14ac:dyDescent="0.3">
      <c r="A936" s="4" t="s">
        <v>893</v>
      </c>
      <c r="B936" s="13"/>
      <c r="C936" s="13" t="s">
        <v>1513</v>
      </c>
      <c r="D936" s="101" t="s">
        <v>2276</v>
      </c>
      <c r="E936" s="102"/>
      <c r="F936" s="13" t="s">
        <v>2385</v>
      </c>
      <c r="G936" s="21">
        <v>1815</v>
      </c>
      <c r="H936" s="21">
        <v>0</v>
      </c>
      <c r="I936" s="21">
        <f t="shared" si="890"/>
        <v>0</v>
      </c>
      <c r="J936" s="21">
        <f t="shared" si="891"/>
        <v>0</v>
      </c>
      <c r="K936" s="21">
        <f t="shared" si="892"/>
        <v>0</v>
      </c>
      <c r="L936" s="21">
        <v>0</v>
      </c>
      <c r="M936" s="21">
        <f t="shared" si="893"/>
        <v>0</v>
      </c>
      <c r="N936" s="35"/>
      <c r="O936" s="39"/>
      <c r="U936" s="41">
        <f t="shared" si="894"/>
        <v>0</v>
      </c>
      <c r="W936" s="41">
        <f t="shared" si="895"/>
        <v>0</v>
      </c>
      <c r="X936" s="41">
        <f t="shared" si="896"/>
        <v>0</v>
      </c>
      <c r="Y936" s="41">
        <f t="shared" si="897"/>
        <v>0</v>
      </c>
      <c r="Z936" s="41">
        <f t="shared" si="898"/>
        <v>0</v>
      </c>
      <c r="AA936" s="41">
        <f t="shared" si="899"/>
        <v>0</v>
      </c>
      <c r="AB936" s="41">
        <f t="shared" si="900"/>
        <v>0</v>
      </c>
      <c r="AC936" s="41">
        <f t="shared" si="901"/>
        <v>0</v>
      </c>
      <c r="AD936" s="31"/>
      <c r="AE936" s="21">
        <f t="shared" si="902"/>
        <v>0</v>
      </c>
      <c r="AF936" s="21">
        <f t="shared" si="903"/>
        <v>0</v>
      </c>
      <c r="AG936" s="21">
        <f t="shared" si="904"/>
        <v>0</v>
      </c>
      <c r="AI936" s="41">
        <v>21</v>
      </c>
      <c r="AJ936" s="41">
        <f>H936*0.333333333333333</f>
        <v>0</v>
      </c>
      <c r="AK936" s="41">
        <f>H936*(1-0.333333333333333)</f>
        <v>0</v>
      </c>
      <c r="AL936" s="42" t="s">
        <v>8</v>
      </c>
      <c r="AQ936" s="41">
        <f t="shared" si="905"/>
        <v>0</v>
      </c>
      <c r="AR936" s="41">
        <f t="shared" si="906"/>
        <v>0</v>
      </c>
      <c r="AS936" s="41">
        <f t="shared" si="907"/>
        <v>0</v>
      </c>
      <c r="AT936" s="44" t="s">
        <v>2473</v>
      </c>
      <c r="AU936" s="44" t="s">
        <v>2485</v>
      </c>
      <c r="AV936" s="31" t="s">
        <v>2486</v>
      </c>
      <c r="AX936" s="41">
        <f t="shared" si="908"/>
        <v>0</v>
      </c>
      <c r="AY936" s="41">
        <f t="shared" si="909"/>
        <v>0</v>
      </c>
      <c r="AZ936" s="41">
        <v>0</v>
      </c>
      <c r="BA936" s="41">
        <f t="shared" si="910"/>
        <v>0</v>
      </c>
      <c r="BC936" s="21">
        <f t="shared" si="911"/>
        <v>0</v>
      </c>
      <c r="BD936" s="21">
        <f t="shared" si="912"/>
        <v>0</v>
      </c>
      <c r="BE936" s="21">
        <f t="shared" si="913"/>
        <v>0</v>
      </c>
      <c r="BF936" s="21" t="s">
        <v>2492</v>
      </c>
      <c r="BG936" s="41" t="s">
        <v>1489</v>
      </c>
    </row>
    <row r="937" spans="1:59" x14ac:dyDescent="0.3">
      <c r="A937" s="4" t="s">
        <v>894</v>
      </c>
      <c r="B937" s="13"/>
      <c r="C937" s="13" t="s">
        <v>1514</v>
      </c>
      <c r="D937" s="101" t="s">
        <v>2277</v>
      </c>
      <c r="E937" s="102"/>
      <c r="F937" s="13" t="s">
        <v>2384</v>
      </c>
      <c r="G937" s="21">
        <v>1</v>
      </c>
      <c r="H937" s="21">
        <v>0</v>
      </c>
      <c r="I937" s="21">
        <f t="shared" si="890"/>
        <v>0</v>
      </c>
      <c r="J937" s="21">
        <f t="shared" si="891"/>
        <v>0</v>
      </c>
      <c r="K937" s="21">
        <f t="shared" si="892"/>
        <v>0</v>
      </c>
      <c r="L937" s="21">
        <v>0</v>
      </c>
      <c r="M937" s="21">
        <f t="shared" si="893"/>
        <v>0</v>
      </c>
      <c r="N937" s="35"/>
      <c r="O937" s="39"/>
      <c r="U937" s="41">
        <f t="shared" si="894"/>
        <v>0</v>
      </c>
      <c r="W937" s="41">
        <f t="shared" si="895"/>
        <v>0</v>
      </c>
      <c r="X937" s="41">
        <f t="shared" si="896"/>
        <v>0</v>
      </c>
      <c r="Y937" s="41">
        <f t="shared" si="897"/>
        <v>0</v>
      </c>
      <c r="Z937" s="41">
        <f t="shared" si="898"/>
        <v>0</v>
      </c>
      <c r="AA937" s="41">
        <f t="shared" si="899"/>
        <v>0</v>
      </c>
      <c r="AB937" s="41">
        <f t="shared" si="900"/>
        <v>0</v>
      </c>
      <c r="AC937" s="41">
        <f t="shared" si="901"/>
        <v>0</v>
      </c>
      <c r="AD937" s="31"/>
      <c r="AE937" s="21">
        <f t="shared" si="902"/>
        <v>0</v>
      </c>
      <c r="AF937" s="21">
        <f t="shared" si="903"/>
        <v>0</v>
      </c>
      <c r="AG937" s="21">
        <f t="shared" si="904"/>
        <v>0</v>
      </c>
      <c r="AI937" s="41">
        <v>21</v>
      </c>
      <c r="AJ937" s="41">
        <f>H937*0.957410562180579</f>
        <v>0</v>
      </c>
      <c r="AK937" s="41">
        <f>H937*(1-0.957410562180579)</f>
        <v>0</v>
      </c>
      <c r="AL937" s="42" t="s">
        <v>8</v>
      </c>
      <c r="AQ937" s="41">
        <f t="shared" si="905"/>
        <v>0</v>
      </c>
      <c r="AR937" s="41">
        <f t="shared" si="906"/>
        <v>0</v>
      </c>
      <c r="AS937" s="41">
        <f t="shared" si="907"/>
        <v>0</v>
      </c>
      <c r="AT937" s="44" t="s">
        <v>2473</v>
      </c>
      <c r="AU937" s="44" t="s">
        <v>2485</v>
      </c>
      <c r="AV937" s="31" t="s">
        <v>2486</v>
      </c>
      <c r="AX937" s="41">
        <f t="shared" si="908"/>
        <v>0</v>
      </c>
      <c r="AY937" s="41">
        <f t="shared" si="909"/>
        <v>0</v>
      </c>
      <c r="AZ937" s="41">
        <v>0</v>
      </c>
      <c r="BA937" s="41">
        <f t="shared" si="910"/>
        <v>0</v>
      </c>
      <c r="BC937" s="21">
        <f t="shared" si="911"/>
        <v>0</v>
      </c>
      <c r="BD937" s="21">
        <f t="shared" si="912"/>
        <v>0</v>
      </c>
      <c r="BE937" s="21">
        <f t="shared" si="913"/>
        <v>0</v>
      </c>
      <c r="BF937" s="21" t="s">
        <v>2492</v>
      </c>
      <c r="BG937" s="41" t="s">
        <v>1489</v>
      </c>
    </row>
    <row r="938" spans="1:59" x14ac:dyDescent="0.3">
      <c r="A938" s="4" t="s">
        <v>895</v>
      </c>
      <c r="B938" s="13"/>
      <c r="C938" s="13" t="s">
        <v>1515</v>
      </c>
      <c r="D938" s="101" t="s">
        <v>2278</v>
      </c>
      <c r="E938" s="102"/>
      <c r="F938" s="13" t="s">
        <v>2384</v>
      </c>
      <c r="G938" s="21">
        <v>10</v>
      </c>
      <c r="H938" s="21">
        <v>0</v>
      </c>
      <c r="I938" s="21">
        <f t="shared" si="890"/>
        <v>0</v>
      </c>
      <c r="J938" s="21">
        <f t="shared" si="891"/>
        <v>0</v>
      </c>
      <c r="K938" s="21">
        <f t="shared" si="892"/>
        <v>0</v>
      </c>
      <c r="L938" s="21">
        <v>0</v>
      </c>
      <c r="M938" s="21">
        <f t="shared" si="893"/>
        <v>0</v>
      </c>
      <c r="N938" s="35"/>
      <c r="O938" s="39"/>
      <c r="U938" s="41">
        <f t="shared" si="894"/>
        <v>0</v>
      </c>
      <c r="W938" s="41">
        <f t="shared" si="895"/>
        <v>0</v>
      </c>
      <c r="X938" s="41">
        <f t="shared" si="896"/>
        <v>0</v>
      </c>
      <c r="Y938" s="41">
        <f t="shared" si="897"/>
        <v>0</v>
      </c>
      <c r="Z938" s="41">
        <f t="shared" si="898"/>
        <v>0</v>
      </c>
      <c r="AA938" s="41">
        <f t="shared" si="899"/>
        <v>0</v>
      </c>
      <c r="AB938" s="41">
        <f t="shared" si="900"/>
        <v>0</v>
      </c>
      <c r="AC938" s="41">
        <f t="shared" si="901"/>
        <v>0</v>
      </c>
      <c r="AD938" s="31"/>
      <c r="AE938" s="21">
        <f t="shared" si="902"/>
        <v>0</v>
      </c>
      <c r="AF938" s="21">
        <f t="shared" si="903"/>
        <v>0</v>
      </c>
      <c r="AG938" s="21">
        <f t="shared" si="904"/>
        <v>0</v>
      </c>
      <c r="AI938" s="41">
        <v>21</v>
      </c>
      <c r="AJ938" s="41">
        <f>H938*0.916976456009913</f>
        <v>0</v>
      </c>
      <c r="AK938" s="41">
        <f>H938*(1-0.916976456009913)</f>
        <v>0</v>
      </c>
      <c r="AL938" s="42" t="s">
        <v>8</v>
      </c>
      <c r="AQ938" s="41">
        <f t="shared" si="905"/>
        <v>0</v>
      </c>
      <c r="AR938" s="41">
        <f t="shared" si="906"/>
        <v>0</v>
      </c>
      <c r="AS938" s="41">
        <f t="shared" si="907"/>
        <v>0</v>
      </c>
      <c r="AT938" s="44" t="s">
        <v>2473</v>
      </c>
      <c r="AU938" s="44" t="s">
        <v>2485</v>
      </c>
      <c r="AV938" s="31" t="s">
        <v>2486</v>
      </c>
      <c r="AX938" s="41">
        <f t="shared" si="908"/>
        <v>0</v>
      </c>
      <c r="AY938" s="41">
        <f t="shared" si="909"/>
        <v>0</v>
      </c>
      <c r="AZ938" s="41">
        <v>0</v>
      </c>
      <c r="BA938" s="41">
        <f t="shared" si="910"/>
        <v>0</v>
      </c>
      <c r="BC938" s="21">
        <f t="shared" si="911"/>
        <v>0</v>
      </c>
      <c r="BD938" s="21">
        <f t="shared" si="912"/>
        <v>0</v>
      </c>
      <c r="BE938" s="21">
        <f t="shared" si="913"/>
        <v>0</v>
      </c>
      <c r="BF938" s="21" t="s">
        <v>2492</v>
      </c>
      <c r="BG938" s="41" t="s">
        <v>1489</v>
      </c>
    </row>
    <row r="939" spans="1:59" x14ac:dyDescent="0.3">
      <c r="A939" s="4" t="s">
        <v>896</v>
      </c>
      <c r="B939" s="13"/>
      <c r="C939" s="13" t="s">
        <v>1516</v>
      </c>
      <c r="D939" s="101" t="s">
        <v>2279</v>
      </c>
      <c r="E939" s="102"/>
      <c r="F939" s="13" t="s">
        <v>2384</v>
      </c>
      <c r="G939" s="21">
        <v>1</v>
      </c>
      <c r="H939" s="21">
        <v>0</v>
      </c>
      <c r="I939" s="21">
        <f t="shared" si="890"/>
        <v>0</v>
      </c>
      <c r="J939" s="21">
        <f t="shared" si="891"/>
        <v>0</v>
      </c>
      <c r="K939" s="21">
        <f t="shared" si="892"/>
        <v>0</v>
      </c>
      <c r="L939" s="21">
        <v>0</v>
      </c>
      <c r="M939" s="21">
        <f t="shared" si="893"/>
        <v>0</v>
      </c>
      <c r="N939" s="35"/>
      <c r="O939" s="39"/>
      <c r="U939" s="41">
        <f t="shared" si="894"/>
        <v>0</v>
      </c>
      <c r="W939" s="41">
        <f t="shared" si="895"/>
        <v>0</v>
      </c>
      <c r="X939" s="41">
        <f t="shared" si="896"/>
        <v>0</v>
      </c>
      <c r="Y939" s="41">
        <f t="shared" si="897"/>
        <v>0</v>
      </c>
      <c r="Z939" s="41">
        <f t="shared" si="898"/>
        <v>0</v>
      </c>
      <c r="AA939" s="41">
        <f t="shared" si="899"/>
        <v>0</v>
      </c>
      <c r="AB939" s="41">
        <f t="shared" si="900"/>
        <v>0</v>
      </c>
      <c r="AC939" s="41">
        <f t="shared" si="901"/>
        <v>0</v>
      </c>
      <c r="AD939" s="31"/>
      <c r="AE939" s="21">
        <f t="shared" si="902"/>
        <v>0</v>
      </c>
      <c r="AF939" s="21">
        <f t="shared" si="903"/>
        <v>0</v>
      </c>
      <c r="AG939" s="21">
        <f t="shared" si="904"/>
        <v>0</v>
      </c>
      <c r="AI939" s="41">
        <v>21</v>
      </c>
      <c r="AJ939" s="41">
        <f>H939*0.916943521594684</f>
        <v>0</v>
      </c>
      <c r="AK939" s="41">
        <f>H939*(1-0.916943521594684)</f>
        <v>0</v>
      </c>
      <c r="AL939" s="42" t="s">
        <v>8</v>
      </c>
      <c r="AQ939" s="41">
        <f t="shared" si="905"/>
        <v>0</v>
      </c>
      <c r="AR939" s="41">
        <f t="shared" si="906"/>
        <v>0</v>
      </c>
      <c r="AS939" s="41">
        <f t="shared" si="907"/>
        <v>0</v>
      </c>
      <c r="AT939" s="44" t="s">
        <v>2473</v>
      </c>
      <c r="AU939" s="44" t="s">
        <v>2485</v>
      </c>
      <c r="AV939" s="31" t="s">
        <v>2486</v>
      </c>
      <c r="AX939" s="41">
        <f t="shared" si="908"/>
        <v>0</v>
      </c>
      <c r="AY939" s="41">
        <f t="shared" si="909"/>
        <v>0</v>
      </c>
      <c r="AZ939" s="41">
        <v>0</v>
      </c>
      <c r="BA939" s="41">
        <f t="shared" si="910"/>
        <v>0</v>
      </c>
      <c r="BC939" s="21">
        <f t="shared" si="911"/>
        <v>0</v>
      </c>
      <c r="BD939" s="21">
        <f t="shared" si="912"/>
        <v>0</v>
      </c>
      <c r="BE939" s="21">
        <f t="shared" si="913"/>
        <v>0</v>
      </c>
      <c r="BF939" s="21" t="s">
        <v>2492</v>
      </c>
      <c r="BG939" s="41" t="s">
        <v>1489</v>
      </c>
    </row>
    <row r="940" spans="1:59" x14ac:dyDescent="0.3">
      <c r="A940" s="4" t="s">
        <v>897</v>
      </c>
      <c r="B940" s="13"/>
      <c r="C940" s="13" t="s">
        <v>1517</v>
      </c>
      <c r="D940" s="101" t="s">
        <v>2279</v>
      </c>
      <c r="E940" s="102"/>
      <c r="F940" s="13" t="s">
        <v>2384</v>
      </c>
      <c r="G940" s="21">
        <v>1</v>
      </c>
      <c r="H940" s="21">
        <v>0</v>
      </c>
      <c r="I940" s="21">
        <f t="shared" si="890"/>
        <v>0</v>
      </c>
      <c r="J940" s="21">
        <f t="shared" si="891"/>
        <v>0</v>
      </c>
      <c r="K940" s="21">
        <f t="shared" si="892"/>
        <v>0</v>
      </c>
      <c r="L940" s="21">
        <v>0</v>
      </c>
      <c r="M940" s="21">
        <f t="shared" si="893"/>
        <v>0</v>
      </c>
      <c r="N940" s="35"/>
      <c r="O940" s="39"/>
      <c r="U940" s="41">
        <f t="shared" si="894"/>
        <v>0</v>
      </c>
      <c r="W940" s="41">
        <f t="shared" si="895"/>
        <v>0</v>
      </c>
      <c r="X940" s="41">
        <f t="shared" si="896"/>
        <v>0</v>
      </c>
      <c r="Y940" s="41">
        <f t="shared" si="897"/>
        <v>0</v>
      </c>
      <c r="Z940" s="41">
        <f t="shared" si="898"/>
        <v>0</v>
      </c>
      <c r="AA940" s="41">
        <f t="shared" si="899"/>
        <v>0</v>
      </c>
      <c r="AB940" s="41">
        <f t="shared" si="900"/>
        <v>0</v>
      </c>
      <c r="AC940" s="41">
        <f t="shared" si="901"/>
        <v>0</v>
      </c>
      <c r="AD940" s="31"/>
      <c r="AE940" s="21">
        <f t="shared" si="902"/>
        <v>0</v>
      </c>
      <c r="AF940" s="21">
        <f t="shared" si="903"/>
        <v>0</v>
      </c>
      <c r="AG940" s="21">
        <f t="shared" si="904"/>
        <v>0</v>
      </c>
      <c r="AI940" s="41">
        <v>21</v>
      </c>
      <c r="AJ940" s="41">
        <f>H940*0.908256880733945</f>
        <v>0</v>
      </c>
      <c r="AK940" s="41">
        <f>H940*(1-0.908256880733945)</f>
        <v>0</v>
      </c>
      <c r="AL940" s="42" t="s">
        <v>8</v>
      </c>
      <c r="AQ940" s="41">
        <f t="shared" si="905"/>
        <v>0</v>
      </c>
      <c r="AR940" s="41">
        <f t="shared" si="906"/>
        <v>0</v>
      </c>
      <c r="AS940" s="41">
        <f t="shared" si="907"/>
        <v>0</v>
      </c>
      <c r="AT940" s="44" t="s">
        <v>2473</v>
      </c>
      <c r="AU940" s="44" t="s">
        <v>2485</v>
      </c>
      <c r="AV940" s="31" t="s">
        <v>2486</v>
      </c>
      <c r="AX940" s="41">
        <f t="shared" si="908"/>
        <v>0</v>
      </c>
      <c r="AY940" s="41">
        <f t="shared" si="909"/>
        <v>0</v>
      </c>
      <c r="AZ940" s="41">
        <v>0</v>
      </c>
      <c r="BA940" s="41">
        <f t="shared" si="910"/>
        <v>0</v>
      </c>
      <c r="BC940" s="21">
        <f t="shared" si="911"/>
        <v>0</v>
      </c>
      <c r="BD940" s="21">
        <f t="shared" si="912"/>
        <v>0</v>
      </c>
      <c r="BE940" s="21">
        <f t="shared" si="913"/>
        <v>0</v>
      </c>
      <c r="BF940" s="21" t="s">
        <v>2492</v>
      </c>
      <c r="BG940" s="41" t="s">
        <v>1489</v>
      </c>
    </row>
    <row r="941" spans="1:59" x14ac:dyDescent="0.3">
      <c r="A941" s="4" t="s">
        <v>898</v>
      </c>
      <c r="B941" s="13"/>
      <c r="C941" s="13" t="s">
        <v>1518</v>
      </c>
      <c r="D941" s="101" t="s">
        <v>2279</v>
      </c>
      <c r="E941" s="102"/>
      <c r="F941" s="13" t="s">
        <v>2384</v>
      </c>
      <c r="G941" s="21">
        <v>1</v>
      </c>
      <c r="H941" s="21">
        <v>0</v>
      </c>
      <c r="I941" s="21">
        <f t="shared" si="890"/>
        <v>0</v>
      </c>
      <c r="J941" s="21">
        <f t="shared" si="891"/>
        <v>0</v>
      </c>
      <c r="K941" s="21">
        <f t="shared" si="892"/>
        <v>0</v>
      </c>
      <c r="L941" s="21">
        <v>0</v>
      </c>
      <c r="M941" s="21">
        <f t="shared" si="893"/>
        <v>0</v>
      </c>
      <c r="N941" s="35"/>
      <c r="O941" s="39"/>
      <c r="U941" s="41">
        <f t="shared" si="894"/>
        <v>0</v>
      </c>
      <c r="W941" s="41">
        <f t="shared" si="895"/>
        <v>0</v>
      </c>
      <c r="X941" s="41">
        <f t="shared" si="896"/>
        <v>0</v>
      </c>
      <c r="Y941" s="41">
        <f t="shared" si="897"/>
        <v>0</v>
      </c>
      <c r="Z941" s="41">
        <f t="shared" si="898"/>
        <v>0</v>
      </c>
      <c r="AA941" s="41">
        <f t="shared" si="899"/>
        <v>0</v>
      </c>
      <c r="AB941" s="41">
        <f t="shared" si="900"/>
        <v>0</v>
      </c>
      <c r="AC941" s="41">
        <f t="shared" si="901"/>
        <v>0</v>
      </c>
      <c r="AD941" s="31"/>
      <c r="AE941" s="21">
        <f t="shared" si="902"/>
        <v>0</v>
      </c>
      <c r="AF941" s="21">
        <f t="shared" si="903"/>
        <v>0</v>
      </c>
      <c r="AG941" s="21">
        <f t="shared" si="904"/>
        <v>0</v>
      </c>
      <c r="AI941" s="41">
        <v>21</v>
      </c>
      <c r="AJ941" s="41">
        <f>H941*0.89827246296609</f>
        <v>0</v>
      </c>
      <c r="AK941" s="41">
        <f>H941*(1-0.89827246296609)</f>
        <v>0</v>
      </c>
      <c r="AL941" s="42" t="s">
        <v>8</v>
      </c>
      <c r="AQ941" s="41">
        <f t="shared" si="905"/>
        <v>0</v>
      </c>
      <c r="AR941" s="41">
        <f t="shared" si="906"/>
        <v>0</v>
      </c>
      <c r="AS941" s="41">
        <f t="shared" si="907"/>
        <v>0</v>
      </c>
      <c r="AT941" s="44" t="s">
        <v>2473</v>
      </c>
      <c r="AU941" s="44" t="s">
        <v>2485</v>
      </c>
      <c r="AV941" s="31" t="s">
        <v>2486</v>
      </c>
      <c r="AX941" s="41">
        <f t="shared" si="908"/>
        <v>0</v>
      </c>
      <c r="AY941" s="41">
        <f t="shared" si="909"/>
        <v>0</v>
      </c>
      <c r="AZ941" s="41">
        <v>0</v>
      </c>
      <c r="BA941" s="41">
        <f t="shared" si="910"/>
        <v>0</v>
      </c>
      <c r="BC941" s="21">
        <f t="shared" si="911"/>
        <v>0</v>
      </c>
      <c r="BD941" s="21">
        <f t="shared" si="912"/>
        <v>0</v>
      </c>
      <c r="BE941" s="21">
        <f t="shared" si="913"/>
        <v>0</v>
      </c>
      <c r="BF941" s="21" t="s">
        <v>2492</v>
      </c>
      <c r="BG941" s="41" t="s">
        <v>1489</v>
      </c>
    </row>
    <row r="942" spans="1:59" x14ac:dyDescent="0.3">
      <c r="A942" s="4" t="s">
        <v>899</v>
      </c>
      <c r="B942" s="13"/>
      <c r="C942" s="13" t="s">
        <v>1519</v>
      </c>
      <c r="D942" s="101" t="s">
        <v>2280</v>
      </c>
      <c r="E942" s="102"/>
      <c r="F942" s="13" t="s">
        <v>2384</v>
      </c>
      <c r="G942" s="21">
        <v>2</v>
      </c>
      <c r="H942" s="21">
        <v>0</v>
      </c>
      <c r="I942" s="21">
        <f t="shared" si="890"/>
        <v>0</v>
      </c>
      <c r="J942" s="21">
        <f t="shared" si="891"/>
        <v>0</v>
      </c>
      <c r="K942" s="21">
        <f t="shared" si="892"/>
        <v>0</v>
      </c>
      <c r="L942" s="21">
        <v>0</v>
      </c>
      <c r="M942" s="21">
        <f t="shared" si="893"/>
        <v>0</v>
      </c>
      <c r="N942" s="35"/>
      <c r="O942" s="39"/>
      <c r="U942" s="41">
        <f t="shared" si="894"/>
        <v>0</v>
      </c>
      <c r="W942" s="41">
        <f t="shared" si="895"/>
        <v>0</v>
      </c>
      <c r="X942" s="41">
        <f t="shared" si="896"/>
        <v>0</v>
      </c>
      <c r="Y942" s="41">
        <f t="shared" si="897"/>
        <v>0</v>
      </c>
      <c r="Z942" s="41">
        <f t="shared" si="898"/>
        <v>0</v>
      </c>
      <c r="AA942" s="41">
        <f t="shared" si="899"/>
        <v>0</v>
      </c>
      <c r="AB942" s="41">
        <f t="shared" si="900"/>
        <v>0</v>
      </c>
      <c r="AC942" s="41">
        <f t="shared" si="901"/>
        <v>0</v>
      </c>
      <c r="AD942" s="31"/>
      <c r="AE942" s="21">
        <f t="shared" si="902"/>
        <v>0</v>
      </c>
      <c r="AF942" s="21">
        <f t="shared" si="903"/>
        <v>0</v>
      </c>
      <c r="AG942" s="21">
        <f t="shared" si="904"/>
        <v>0</v>
      </c>
      <c r="AI942" s="41">
        <v>21</v>
      </c>
      <c r="AJ942" s="41">
        <f>H942*0.983606557377049</f>
        <v>0</v>
      </c>
      <c r="AK942" s="41">
        <f>H942*(1-0.983606557377049)</f>
        <v>0</v>
      </c>
      <c r="AL942" s="42" t="s">
        <v>8</v>
      </c>
      <c r="AQ942" s="41">
        <f t="shared" si="905"/>
        <v>0</v>
      </c>
      <c r="AR942" s="41">
        <f t="shared" si="906"/>
        <v>0</v>
      </c>
      <c r="AS942" s="41">
        <f t="shared" si="907"/>
        <v>0</v>
      </c>
      <c r="AT942" s="44" t="s">
        <v>2473</v>
      </c>
      <c r="AU942" s="44" t="s">
        <v>2485</v>
      </c>
      <c r="AV942" s="31" t="s">
        <v>2486</v>
      </c>
      <c r="AX942" s="41">
        <f t="shared" si="908"/>
        <v>0</v>
      </c>
      <c r="AY942" s="41">
        <f t="shared" si="909"/>
        <v>0</v>
      </c>
      <c r="AZ942" s="41">
        <v>0</v>
      </c>
      <c r="BA942" s="41">
        <f t="shared" si="910"/>
        <v>0</v>
      </c>
      <c r="BC942" s="21">
        <f t="shared" si="911"/>
        <v>0</v>
      </c>
      <c r="BD942" s="21">
        <f t="shared" si="912"/>
        <v>0</v>
      </c>
      <c r="BE942" s="21">
        <f t="shared" si="913"/>
        <v>0</v>
      </c>
      <c r="BF942" s="21" t="s">
        <v>2492</v>
      </c>
      <c r="BG942" s="41" t="s">
        <v>1489</v>
      </c>
    </row>
    <row r="943" spans="1:59" x14ac:dyDescent="0.3">
      <c r="A943" s="4" t="s">
        <v>900</v>
      </c>
      <c r="B943" s="13"/>
      <c r="C943" s="13" t="s">
        <v>1520</v>
      </c>
      <c r="D943" s="101" t="s">
        <v>2281</v>
      </c>
      <c r="E943" s="102"/>
      <c r="F943" s="13" t="s">
        <v>2384</v>
      </c>
      <c r="G943" s="21">
        <v>4</v>
      </c>
      <c r="H943" s="21">
        <v>0</v>
      </c>
      <c r="I943" s="21">
        <f t="shared" si="890"/>
        <v>0</v>
      </c>
      <c r="J943" s="21">
        <f t="shared" si="891"/>
        <v>0</v>
      </c>
      <c r="K943" s="21">
        <f t="shared" si="892"/>
        <v>0</v>
      </c>
      <c r="L943" s="21">
        <v>0</v>
      </c>
      <c r="M943" s="21">
        <f t="shared" si="893"/>
        <v>0</v>
      </c>
      <c r="N943" s="35"/>
      <c r="O943" s="39"/>
      <c r="U943" s="41">
        <f t="shared" si="894"/>
        <v>0</v>
      </c>
      <c r="W943" s="41">
        <f t="shared" si="895"/>
        <v>0</v>
      </c>
      <c r="X943" s="41">
        <f t="shared" si="896"/>
        <v>0</v>
      </c>
      <c r="Y943" s="41">
        <f t="shared" si="897"/>
        <v>0</v>
      </c>
      <c r="Z943" s="41">
        <f t="shared" si="898"/>
        <v>0</v>
      </c>
      <c r="AA943" s="41">
        <f t="shared" si="899"/>
        <v>0</v>
      </c>
      <c r="AB943" s="41">
        <f t="shared" si="900"/>
        <v>0</v>
      </c>
      <c r="AC943" s="41">
        <f t="shared" si="901"/>
        <v>0</v>
      </c>
      <c r="AD943" s="31"/>
      <c r="AE943" s="21">
        <f t="shared" si="902"/>
        <v>0</v>
      </c>
      <c r="AF943" s="21">
        <f t="shared" si="903"/>
        <v>0</v>
      </c>
      <c r="AG943" s="21">
        <f t="shared" si="904"/>
        <v>0</v>
      </c>
      <c r="AI943" s="41">
        <v>21</v>
      </c>
      <c r="AJ943" s="41">
        <f>H943*0.653846153846154</f>
        <v>0</v>
      </c>
      <c r="AK943" s="41">
        <f>H943*(1-0.653846153846154)</f>
        <v>0</v>
      </c>
      <c r="AL943" s="42" t="s">
        <v>8</v>
      </c>
      <c r="AQ943" s="41">
        <f t="shared" si="905"/>
        <v>0</v>
      </c>
      <c r="AR943" s="41">
        <f t="shared" si="906"/>
        <v>0</v>
      </c>
      <c r="AS943" s="41">
        <f t="shared" si="907"/>
        <v>0</v>
      </c>
      <c r="AT943" s="44" t="s">
        <v>2473</v>
      </c>
      <c r="AU943" s="44" t="s">
        <v>2485</v>
      </c>
      <c r="AV943" s="31" t="s">
        <v>2486</v>
      </c>
      <c r="AX943" s="41">
        <f t="shared" si="908"/>
        <v>0</v>
      </c>
      <c r="AY943" s="41">
        <f t="shared" si="909"/>
        <v>0</v>
      </c>
      <c r="AZ943" s="41">
        <v>0</v>
      </c>
      <c r="BA943" s="41">
        <f t="shared" si="910"/>
        <v>0</v>
      </c>
      <c r="BC943" s="21">
        <f t="shared" si="911"/>
        <v>0</v>
      </c>
      <c r="BD943" s="21">
        <f t="shared" si="912"/>
        <v>0</v>
      </c>
      <c r="BE943" s="21">
        <f t="shared" si="913"/>
        <v>0</v>
      </c>
      <c r="BF943" s="21" t="s">
        <v>2492</v>
      </c>
      <c r="BG943" s="41" t="s">
        <v>1489</v>
      </c>
    </row>
    <row r="944" spans="1:59" x14ac:dyDescent="0.3">
      <c r="A944" s="4" t="s">
        <v>901</v>
      </c>
      <c r="B944" s="13"/>
      <c r="C944" s="13" t="s">
        <v>1521</v>
      </c>
      <c r="D944" s="101" t="s">
        <v>2282</v>
      </c>
      <c r="E944" s="102"/>
      <c r="F944" s="13" t="s">
        <v>2384</v>
      </c>
      <c r="G944" s="21">
        <v>32</v>
      </c>
      <c r="H944" s="21">
        <v>0</v>
      </c>
      <c r="I944" s="21">
        <f t="shared" si="890"/>
        <v>0</v>
      </c>
      <c r="J944" s="21">
        <f t="shared" si="891"/>
        <v>0</v>
      </c>
      <c r="K944" s="21">
        <f t="shared" si="892"/>
        <v>0</v>
      </c>
      <c r="L944" s="21">
        <v>0</v>
      </c>
      <c r="M944" s="21">
        <f t="shared" si="893"/>
        <v>0</v>
      </c>
      <c r="N944" s="35"/>
      <c r="O944" s="39"/>
      <c r="U944" s="41">
        <f t="shared" si="894"/>
        <v>0</v>
      </c>
      <c r="W944" s="41">
        <f t="shared" si="895"/>
        <v>0</v>
      </c>
      <c r="X944" s="41">
        <f t="shared" si="896"/>
        <v>0</v>
      </c>
      <c r="Y944" s="41">
        <f t="shared" si="897"/>
        <v>0</v>
      </c>
      <c r="Z944" s="41">
        <f t="shared" si="898"/>
        <v>0</v>
      </c>
      <c r="AA944" s="41">
        <f t="shared" si="899"/>
        <v>0</v>
      </c>
      <c r="AB944" s="41">
        <f t="shared" si="900"/>
        <v>0</v>
      </c>
      <c r="AC944" s="41">
        <f t="shared" si="901"/>
        <v>0</v>
      </c>
      <c r="AD944" s="31"/>
      <c r="AE944" s="21">
        <f t="shared" si="902"/>
        <v>0</v>
      </c>
      <c r="AF944" s="21">
        <f t="shared" si="903"/>
        <v>0</v>
      </c>
      <c r="AG944" s="21">
        <f t="shared" si="904"/>
        <v>0</v>
      </c>
      <c r="AI944" s="41">
        <v>21</v>
      </c>
      <c r="AJ944" s="41">
        <f>H944*0.875207986688852</f>
        <v>0</v>
      </c>
      <c r="AK944" s="41">
        <f>H944*(1-0.875207986688852)</f>
        <v>0</v>
      </c>
      <c r="AL944" s="42" t="s">
        <v>8</v>
      </c>
      <c r="AQ944" s="41">
        <f t="shared" si="905"/>
        <v>0</v>
      </c>
      <c r="AR944" s="41">
        <f t="shared" si="906"/>
        <v>0</v>
      </c>
      <c r="AS944" s="41">
        <f t="shared" si="907"/>
        <v>0</v>
      </c>
      <c r="AT944" s="44" t="s">
        <v>2473</v>
      </c>
      <c r="AU944" s="44" t="s">
        <v>2485</v>
      </c>
      <c r="AV944" s="31" t="s">
        <v>2486</v>
      </c>
      <c r="AX944" s="41">
        <f t="shared" si="908"/>
        <v>0</v>
      </c>
      <c r="AY944" s="41">
        <f t="shared" si="909"/>
        <v>0</v>
      </c>
      <c r="AZ944" s="41">
        <v>0</v>
      </c>
      <c r="BA944" s="41">
        <f t="shared" si="910"/>
        <v>0</v>
      </c>
      <c r="BC944" s="21">
        <f t="shared" si="911"/>
        <v>0</v>
      </c>
      <c r="BD944" s="21">
        <f t="shared" si="912"/>
        <v>0</v>
      </c>
      <c r="BE944" s="21">
        <f t="shared" si="913"/>
        <v>0</v>
      </c>
      <c r="BF944" s="21" t="s">
        <v>2492</v>
      </c>
      <c r="BG944" s="41" t="s">
        <v>1489</v>
      </c>
    </row>
    <row r="945" spans="1:59" x14ac:dyDescent="0.3">
      <c r="A945" s="4" t="s">
        <v>902</v>
      </c>
      <c r="B945" s="13"/>
      <c r="C945" s="13" t="s">
        <v>1522</v>
      </c>
      <c r="D945" s="101" t="s">
        <v>2283</v>
      </c>
      <c r="E945" s="102"/>
      <c r="F945" s="13" t="s">
        <v>2384</v>
      </c>
      <c r="G945" s="21">
        <v>4</v>
      </c>
      <c r="H945" s="21">
        <v>0</v>
      </c>
      <c r="I945" s="21">
        <f t="shared" ref="I945:I976" si="914">G945*AJ945</f>
        <v>0</v>
      </c>
      <c r="J945" s="21">
        <f t="shared" ref="J945:J976" si="915">G945*AK945</f>
        <v>0</v>
      </c>
      <c r="K945" s="21">
        <f t="shared" ref="K945:K976" si="916">G945*H945</f>
        <v>0</v>
      </c>
      <c r="L945" s="21">
        <v>0</v>
      </c>
      <c r="M945" s="21">
        <f t="shared" ref="M945:M976" si="917">G945*L945</f>
        <v>0</v>
      </c>
      <c r="N945" s="35"/>
      <c r="O945" s="39"/>
      <c r="U945" s="41">
        <f t="shared" ref="U945:U976" si="918">IF(AL945="5",BE945,0)</f>
        <v>0</v>
      </c>
      <c r="W945" s="41">
        <f t="shared" ref="W945:W976" si="919">IF(AL945="1",BC945,0)</f>
        <v>0</v>
      </c>
      <c r="X945" s="41">
        <f t="shared" ref="X945:X976" si="920">IF(AL945="1",BD945,0)</f>
        <v>0</v>
      </c>
      <c r="Y945" s="41">
        <f t="shared" ref="Y945:Y976" si="921">IF(AL945="7",BC945,0)</f>
        <v>0</v>
      </c>
      <c r="Z945" s="41">
        <f t="shared" ref="Z945:Z976" si="922">IF(AL945="7",BD945,0)</f>
        <v>0</v>
      </c>
      <c r="AA945" s="41">
        <f t="shared" ref="AA945:AA976" si="923">IF(AL945="2",BC945,0)</f>
        <v>0</v>
      </c>
      <c r="AB945" s="41">
        <f t="shared" ref="AB945:AB976" si="924">IF(AL945="2",BD945,0)</f>
        <v>0</v>
      </c>
      <c r="AC945" s="41">
        <f t="shared" ref="AC945:AC976" si="925">IF(AL945="0",BE945,0)</f>
        <v>0</v>
      </c>
      <c r="AD945" s="31"/>
      <c r="AE945" s="21">
        <f t="shared" ref="AE945:AE976" si="926">IF(AI945=0,K945,0)</f>
        <v>0</v>
      </c>
      <c r="AF945" s="21">
        <f t="shared" ref="AF945:AF976" si="927">IF(AI945=15,K945,0)</f>
        <v>0</v>
      </c>
      <c r="AG945" s="21">
        <f t="shared" ref="AG945:AG976" si="928">IF(AI945=21,K945,0)</f>
        <v>0</v>
      </c>
      <c r="AI945" s="41">
        <v>21</v>
      </c>
      <c r="AJ945" s="41">
        <f>H945*0.893854748603352</f>
        <v>0</v>
      </c>
      <c r="AK945" s="41">
        <f>H945*(1-0.893854748603352)</f>
        <v>0</v>
      </c>
      <c r="AL945" s="42" t="s">
        <v>8</v>
      </c>
      <c r="AQ945" s="41">
        <f t="shared" ref="AQ945:AQ976" si="929">AR945+AS945</f>
        <v>0</v>
      </c>
      <c r="AR945" s="41">
        <f t="shared" ref="AR945:AR976" si="930">G945*AJ945</f>
        <v>0</v>
      </c>
      <c r="AS945" s="41">
        <f t="shared" ref="AS945:AS976" si="931">G945*AK945</f>
        <v>0</v>
      </c>
      <c r="AT945" s="44" t="s">
        <v>2473</v>
      </c>
      <c r="AU945" s="44" t="s">
        <v>2485</v>
      </c>
      <c r="AV945" s="31" t="s">
        <v>2486</v>
      </c>
      <c r="AX945" s="41">
        <f t="shared" ref="AX945:AX976" si="932">AR945+AS945</f>
        <v>0</v>
      </c>
      <c r="AY945" s="41">
        <f t="shared" ref="AY945:AY976" si="933">H945/(100-AZ945)*100</f>
        <v>0</v>
      </c>
      <c r="AZ945" s="41">
        <v>0</v>
      </c>
      <c r="BA945" s="41">
        <f t="shared" ref="BA945:BA976" si="934">M945</f>
        <v>0</v>
      </c>
      <c r="BC945" s="21">
        <f t="shared" ref="BC945:BC976" si="935">G945*AJ945</f>
        <v>0</v>
      </c>
      <c r="BD945" s="21">
        <f t="shared" ref="BD945:BD976" si="936">G945*AK945</f>
        <v>0</v>
      </c>
      <c r="BE945" s="21">
        <f t="shared" ref="BE945:BE976" si="937">G945*H945</f>
        <v>0</v>
      </c>
      <c r="BF945" s="21" t="s">
        <v>2492</v>
      </c>
      <c r="BG945" s="41" t="s">
        <v>1489</v>
      </c>
    </row>
    <row r="946" spans="1:59" x14ac:dyDescent="0.3">
      <c r="A946" s="4" t="s">
        <v>903</v>
      </c>
      <c r="B946" s="13"/>
      <c r="C946" s="13" t="s">
        <v>1523</v>
      </c>
      <c r="D946" s="101" t="s">
        <v>2284</v>
      </c>
      <c r="E946" s="102"/>
      <c r="F946" s="13" t="s">
        <v>2384</v>
      </c>
      <c r="G946" s="21">
        <v>18</v>
      </c>
      <c r="H946" s="21">
        <v>0</v>
      </c>
      <c r="I946" s="21">
        <f t="shared" si="914"/>
        <v>0</v>
      </c>
      <c r="J946" s="21">
        <f t="shared" si="915"/>
        <v>0</v>
      </c>
      <c r="K946" s="21">
        <f t="shared" si="916"/>
        <v>0</v>
      </c>
      <c r="L946" s="21">
        <v>0</v>
      </c>
      <c r="M946" s="21">
        <f t="shared" si="917"/>
        <v>0</v>
      </c>
      <c r="N946" s="35"/>
      <c r="O946" s="39"/>
      <c r="U946" s="41">
        <f t="shared" si="918"/>
        <v>0</v>
      </c>
      <c r="W946" s="41">
        <f t="shared" si="919"/>
        <v>0</v>
      </c>
      <c r="X946" s="41">
        <f t="shared" si="920"/>
        <v>0</v>
      </c>
      <c r="Y946" s="41">
        <f t="shared" si="921"/>
        <v>0</v>
      </c>
      <c r="Z946" s="41">
        <f t="shared" si="922"/>
        <v>0</v>
      </c>
      <c r="AA946" s="41">
        <f t="shared" si="923"/>
        <v>0</v>
      </c>
      <c r="AB946" s="41">
        <f t="shared" si="924"/>
        <v>0</v>
      </c>
      <c r="AC946" s="41">
        <f t="shared" si="925"/>
        <v>0</v>
      </c>
      <c r="AD946" s="31"/>
      <c r="AE946" s="21">
        <f t="shared" si="926"/>
        <v>0</v>
      </c>
      <c r="AF946" s="21">
        <f t="shared" si="927"/>
        <v>0</v>
      </c>
      <c r="AG946" s="21">
        <f t="shared" si="928"/>
        <v>0</v>
      </c>
      <c r="AI946" s="41">
        <v>21</v>
      </c>
      <c r="AJ946" s="41">
        <f>H946*0.926380368098159</f>
        <v>0</v>
      </c>
      <c r="AK946" s="41">
        <f>H946*(1-0.926380368098159)</f>
        <v>0</v>
      </c>
      <c r="AL946" s="42" t="s">
        <v>8</v>
      </c>
      <c r="AQ946" s="41">
        <f t="shared" si="929"/>
        <v>0</v>
      </c>
      <c r="AR946" s="41">
        <f t="shared" si="930"/>
        <v>0</v>
      </c>
      <c r="AS946" s="41">
        <f t="shared" si="931"/>
        <v>0</v>
      </c>
      <c r="AT946" s="44" t="s">
        <v>2473</v>
      </c>
      <c r="AU946" s="44" t="s">
        <v>2485</v>
      </c>
      <c r="AV946" s="31" t="s">
        <v>2486</v>
      </c>
      <c r="AX946" s="41">
        <f t="shared" si="932"/>
        <v>0</v>
      </c>
      <c r="AY946" s="41">
        <f t="shared" si="933"/>
        <v>0</v>
      </c>
      <c r="AZ946" s="41">
        <v>0</v>
      </c>
      <c r="BA946" s="41">
        <f t="shared" si="934"/>
        <v>0</v>
      </c>
      <c r="BC946" s="21">
        <f t="shared" si="935"/>
        <v>0</v>
      </c>
      <c r="BD946" s="21">
        <f t="shared" si="936"/>
        <v>0</v>
      </c>
      <c r="BE946" s="21">
        <f t="shared" si="937"/>
        <v>0</v>
      </c>
      <c r="BF946" s="21" t="s">
        <v>2492</v>
      </c>
      <c r="BG946" s="41" t="s">
        <v>1489</v>
      </c>
    </row>
    <row r="947" spans="1:59" x14ac:dyDescent="0.3">
      <c r="A947" s="4" t="s">
        <v>904</v>
      </c>
      <c r="B947" s="13"/>
      <c r="C947" s="13" t="s">
        <v>1524</v>
      </c>
      <c r="D947" s="101" t="s">
        <v>2285</v>
      </c>
      <c r="E947" s="102"/>
      <c r="F947" s="13" t="s">
        <v>2384</v>
      </c>
      <c r="G947" s="21">
        <v>10</v>
      </c>
      <c r="H947" s="21">
        <v>0</v>
      </c>
      <c r="I947" s="21">
        <f t="shared" si="914"/>
        <v>0</v>
      </c>
      <c r="J947" s="21">
        <f t="shared" si="915"/>
        <v>0</v>
      </c>
      <c r="K947" s="21">
        <f t="shared" si="916"/>
        <v>0</v>
      </c>
      <c r="L947" s="21">
        <v>0</v>
      </c>
      <c r="M947" s="21">
        <f t="shared" si="917"/>
        <v>0</v>
      </c>
      <c r="N947" s="35"/>
      <c r="O947" s="39"/>
      <c r="U947" s="41">
        <f t="shared" si="918"/>
        <v>0</v>
      </c>
      <c r="W947" s="41">
        <f t="shared" si="919"/>
        <v>0</v>
      </c>
      <c r="X947" s="41">
        <f t="shared" si="920"/>
        <v>0</v>
      </c>
      <c r="Y947" s="41">
        <f t="shared" si="921"/>
        <v>0</v>
      </c>
      <c r="Z947" s="41">
        <f t="shared" si="922"/>
        <v>0</v>
      </c>
      <c r="AA947" s="41">
        <f t="shared" si="923"/>
        <v>0</v>
      </c>
      <c r="AB947" s="41">
        <f t="shared" si="924"/>
        <v>0</v>
      </c>
      <c r="AC947" s="41">
        <f t="shared" si="925"/>
        <v>0</v>
      </c>
      <c r="AD947" s="31"/>
      <c r="AE947" s="21">
        <f t="shared" si="926"/>
        <v>0</v>
      </c>
      <c r="AF947" s="21">
        <f t="shared" si="927"/>
        <v>0</v>
      </c>
      <c r="AG947" s="21">
        <f t="shared" si="928"/>
        <v>0</v>
      </c>
      <c r="AI947" s="41">
        <v>21</v>
      </c>
      <c r="AJ947" s="41">
        <f>H947*0.648148148148148</f>
        <v>0</v>
      </c>
      <c r="AK947" s="41">
        <f>H947*(1-0.648148148148148)</f>
        <v>0</v>
      </c>
      <c r="AL947" s="42" t="s">
        <v>8</v>
      </c>
      <c r="AQ947" s="41">
        <f t="shared" si="929"/>
        <v>0</v>
      </c>
      <c r="AR947" s="41">
        <f t="shared" si="930"/>
        <v>0</v>
      </c>
      <c r="AS947" s="41">
        <f t="shared" si="931"/>
        <v>0</v>
      </c>
      <c r="AT947" s="44" t="s">
        <v>2473</v>
      </c>
      <c r="AU947" s="44" t="s">
        <v>2485</v>
      </c>
      <c r="AV947" s="31" t="s">
        <v>2486</v>
      </c>
      <c r="AX947" s="41">
        <f t="shared" si="932"/>
        <v>0</v>
      </c>
      <c r="AY947" s="41">
        <f t="shared" si="933"/>
        <v>0</v>
      </c>
      <c r="AZ947" s="41">
        <v>0</v>
      </c>
      <c r="BA947" s="41">
        <f t="shared" si="934"/>
        <v>0</v>
      </c>
      <c r="BC947" s="21">
        <f t="shared" si="935"/>
        <v>0</v>
      </c>
      <c r="BD947" s="21">
        <f t="shared" si="936"/>
        <v>0</v>
      </c>
      <c r="BE947" s="21">
        <f t="shared" si="937"/>
        <v>0</v>
      </c>
      <c r="BF947" s="21" t="s">
        <v>2492</v>
      </c>
      <c r="BG947" s="41" t="s">
        <v>1489</v>
      </c>
    </row>
    <row r="948" spans="1:59" x14ac:dyDescent="0.3">
      <c r="A948" s="4" t="s">
        <v>905</v>
      </c>
      <c r="B948" s="13"/>
      <c r="C948" s="13" t="s">
        <v>1525</v>
      </c>
      <c r="D948" s="101" t="s">
        <v>2286</v>
      </c>
      <c r="E948" s="102"/>
      <c r="F948" s="13" t="s">
        <v>2384</v>
      </c>
      <c r="G948" s="21">
        <v>10</v>
      </c>
      <c r="H948" s="21">
        <v>0</v>
      </c>
      <c r="I948" s="21">
        <f t="shared" si="914"/>
        <v>0</v>
      </c>
      <c r="J948" s="21">
        <f t="shared" si="915"/>
        <v>0</v>
      </c>
      <c r="K948" s="21">
        <f t="shared" si="916"/>
        <v>0</v>
      </c>
      <c r="L948" s="21">
        <v>0</v>
      </c>
      <c r="M948" s="21">
        <f t="shared" si="917"/>
        <v>0</v>
      </c>
      <c r="N948" s="35"/>
      <c r="O948" s="39"/>
      <c r="U948" s="41">
        <f t="shared" si="918"/>
        <v>0</v>
      </c>
      <c r="W948" s="41">
        <f t="shared" si="919"/>
        <v>0</v>
      </c>
      <c r="X948" s="41">
        <f t="shared" si="920"/>
        <v>0</v>
      </c>
      <c r="Y948" s="41">
        <f t="shared" si="921"/>
        <v>0</v>
      </c>
      <c r="Z948" s="41">
        <f t="shared" si="922"/>
        <v>0</v>
      </c>
      <c r="AA948" s="41">
        <f t="shared" si="923"/>
        <v>0</v>
      </c>
      <c r="AB948" s="41">
        <f t="shared" si="924"/>
        <v>0</v>
      </c>
      <c r="AC948" s="41">
        <f t="shared" si="925"/>
        <v>0</v>
      </c>
      <c r="AD948" s="31"/>
      <c r="AE948" s="21">
        <f t="shared" si="926"/>
        <v>0</v>
      </c>
      <c r="AF948" s="21">
        <f t="shared" si="927"/>
        <v>0</v>
      </c>
      <c r="AG948" s="21">
        <f t="shared" si="928"/>
        <v>0</v>
      </c>
      <c r="AI948" s="41">
        <v>21</v>
      </c>
      <c r="AJ948" s="41">
        <f>H948*0.63855421686747</f>
        <v>0</v>
      </c>
      <c r="AK948" s="41">
        <f>H948*(1-0.63855421686747)</f>
        <v>0</v>
      </c>
      <c r="AL948" s="42" t="s">
        <v>8</v>
      </c>
      <c r="AQ948" s="41">
        <f t="shared" si="929"/>
        <v>0</v>
      </c>
      <c r="AR948" s="41">
        <f t="shared" si="930"/>
        <v>0</v>
      </c>
      <c r="AS948" s="41">
        <f t="shared" si="931"/>
        <v>0</v>
      </c>
      <c r="AT948" s="44" t="s">
        <v>2473</v>
      </c>
      <c r="AU948" s="44" t="s">
        <v>2485</v>
      </c>
      <c r="AV948" s="31" t="s">
        <v>2486</v>
      </c>
      <c r="AX948" s="41">
        <f t="shared" si="932"/>
        <v>0</v>
      </c>
      <c r="AY948" s="41">
        <f t="shared" si="933"/>
        <v>0</v>
      </c>
      <c r="AZ948" s="41">
        <v>0</v>
      </c>
      <c r="BA948" s="41">
        <f t="shared" si="934"/>
        <v>0</v>
      </c>
      <c r="BC948" s="21">
        <f t="shared" si="935"/>
        <v>0</v>
      </c>
      <c r="BD948" s="21">
        <f t="shared" si="936"/>
        <v>0</v>
      </c>
      <c r="BE948" s="21">
        <f t="shared" si="937"/>
        <v>0</v>
      </c>
      <c r="BF948" s="21" t="s">
        <v>2492</v>
      </c>
      <c r="BG948" s="41" t="s">
        <v>1489</v>
      </c>
    </row>
    <row r="949" spans="1:59" x14ac:dyDescent="0.3">
      <c r="A949" s="4" t="s">
        <v>906</v>
      </c>
      <c r="B949" s="13"/>
      <c r="C949" s="13" t="s">
        <v>1526</v>
      </c>
      <c r="D949" s="101" t="s">
        <v>2287</v>
      </c>
      <c r="E949" s="102"/>
      <c r="F949" s="13" t="s">
        <v>2384</v>
      </c>
      <c r="G949" s="21">
        <v>28</v>
      </c>
      <c r="H949" s="21">
        <v>0</v>
      </c>
      <c r="I949" s="21">
        <f t="shared" si="914"/>
        <v>0</v>
      </c>
      <c r="J949" s="21">
        <f t="shared" si="915"/>
        <v>0</v>
      </c>
      <c r="K949" s="21">
        <f t="shared" si="916"/>
        <v>0</v>
      </c>
      <c r="L949" s="21">
        <v>0</v>
      </c>
      <c r="M949" s="21">
        <f t="shared" si="917"/>
        <v>0</v>
      </c>
      <c r="N949" s="35"/>
      <c r="O949" s="39"/>
      <c r="U949" s="41">
        <f t="shared" si="918"/>
        <v>0</v>
      </c>
      <c r="W949" s="41">
        <f t="shared" si="919"/>
        <v>0</v>
      </c>
      <c r="X949" s="41">
        <f t="shared" si="920"/>
        <v>0</v>
      </c>
      <c r="Y949" s="41">
        <f t="shared" si="921"/>
        <v>0</v>
      </c>
      <c r="Z949" s="41">
        <f t="shared" si="922"/>
        <v>0</v>
      </c>
      <c r="AA949" s="41">
        <f t="shared" si="923"/>
        <v>0</v>
      </c>
      <c r="AB949" s="41">
        <f t="shared" si="924"/>
        <v>0</v>
      </c>
      <c r="AC949" s="41">
        <f t="shared" si="925"/>
        <v>0</v>
      </c>
      <c r="AD949" s="31"/>
      <c r="AE949" s="21">
        <f t="shared" si="926"/>
        <v>0</v>
      </c>
      <c r="AF949" s="21">
        <f t="shared" si="927"/>
        <v>0</v>
      </c>
      <c r="AG949" s="21">
        <f t="shared" si="928"/>
        <v>0</v>
      </c>
      <c r="AI949" s="41">
        <v>21</v>
      </c>
      <c r="AJ949" s="41">
        <f>H949*0.357142857142857</f>
        <v>0</v>
      </c>
      <c r="AK949" s="41">
        <f>H949*(1-0.357142857142857)</f>
        <v>0</v>
      </c>
      <c r="AL949" s="42" t="s">
        <v>8</v>
      </c>
      <c r="AQ949" s="41">
        <f t="shared" si="929"/>
        <v>0</v>
      </c>
      <c r="AR949" s="41">
        <f t="shared" si="930"/>
        <v>0</v>
      </c>
      <c r="AS949" s="41">
        <f t="shared" si="931"/>
        <v>0</v>
      </c>
      <c r="AT949" s="44" t="s">
        <v>2473</v>
      </c>
      <c r="AU949" s="44" t="s">
        <v>2485</v>
      </c>
      <c r="AV949" s="31" t="s">
        <v>2486</v>
      </c>
      <c r="AX949" s="41">
        <f t="shared" si="932"/>
        <v>0</v>
      </c>
      <c r="AY949" s="41">
        <f t="shared" si="933"/>
        <v>0</v>
      </c>
      <c r="AZ949" s="41">
        <v>0</v>
      </c>
      <c r="BA949" s="41">
        <f t="shared" si="934"/>
        <v>0</v>
      </c>
      <c r="BC949" s="21">
        <f t="shared" si="935"/>
        <v>0</v>
      </c>
      <c r="BD949" s="21">
        <f t="shared" si="936"/>
        <v>0</v>
      </c>
      <c r="BE949" s="21">
        <f t="shared" si="937"/>
        <v>0</v>
      </c>
      <c r="BF949" s="21" t="s">
        <v>2492</v>
      </c>
      <c r="BG949" s="41" t="s">
        <v>1489</v>
      </c>
    </row>
    <row r="950" spans="1:59" x14ac:dyDescent="0.3">
      <c r="A950" s="4" t="s">
        <v>907</v>
      </c>
      <c r="B950" s="13"/>
      <c r="C950" s="13" t="s">
        <v>1527</v>
      </c>
      <c r="D950" s="101" t="s">
        <v>2288</v>
      </c>
      <c r="E950" s="102"/>
      <c r="F950" s="13" t="s">
        <v>2384</v>
      </c>
      <c r="G950" s="21">
        <v>8</v>
      </c>
      <c r="H950" s="21">
        <v>0</v>
      </c>
      <c r="I950" s="21">
        <f t="shared" si="914"/>
        <v>0</v>
      </c>
      <c r="J950" s="21">
        <f t="shared" si="915"/>
        <v>0</v>
      </c>
      <c r="K950" s="21">
        <f t="shared" si="916"/>
        <v>0</v>
      </c>
      <c r="L950" s="21">
        <v>0</v>
      </c>
      <c r="M950" s="21">
        <f t="shared" si="917"/>
        <v>0</v>
      </c>
      <c r="N950" s="35"/>
      <c r="O950" s="39"/>
      <c r="U950" s="41">
        <f t="shared" si="918"/>
        <v>0</v>
      </c>
      <c r="W950" s="41">
        <f t="shared" si="919"/>
        <v>0</v>
      </c>
      <c r="X950" s="41">
        <f t="shared" si="920"/>
        <v>0</v>
      </c>
      <c r="Y950" s="41">
        <f t="shared" si="921"/>
        <v>0</v>
      </c>
      <c r="Z950" s="41">
        <f t="shared" si="922"/>
        <v>0</v>
      </c>
      <c r="AA950" s="41">
        <f t="shared" si="923"/>
        <v>0</v>
      </c>
      <c r="AB950" s="41">
        <f t="shared" si="924"/>
        <v>0</v>
      </c>
      <c r="AC950" s="41">
        <f t="shared" si="925"/>
        <v>0</v>
      </c>
      <c r="AD950" s="31"/>
      <c r="AE950" s="21">
        <f t="shared" si="926"/>
        <v>0</v>
      </c>
      <c r="AF950" s="21">
        <f t="shared" si="927"/>
        <v>0</v>
      </c>
      <c r="AG950" s="21">
        <f t="shared" si="928"/>
        <v>0</v>
      </c>
      <c r="AI950" s="41">
        <v>21</v>
      </c>
      <c r="AJ950" s="41">
        <f>H950*0.943324937027708</f>
        <v>0</v>
      </c>
      <c r="AK950" s="41">
        <f>H950*(1-0.943324937027708)</f>
        <v>0</v>
      </c>
      <c r="AL950" s="42" t="s">
        <v>8</v>
      </c>
      <c r="AQ950" s="41">
        <f t="shared" si="929"/>
        <v>0</v>
      </c>
      <c r="AR950" s="41">
        <f t="shared" si="930"/>
        <v>0</v>
      </c>
      <c r="AS950" s="41">
        <f t="shared" si="931"/>
        <v>0</v>
      </c>
      <c r="AT950" s="44" t="s">
        <v>2473</v>
      </c>
      <c r="AU950" s="44" t="s">
        <v>2485</v>
      </c>
      <c r="AV950" s="31" t="s">
        <v>2486</v>
      </c>
      <c r="AX950" s="41">
        <f t="shared" si="932"/>
        <v>0</v>
      </c>
      <c r="AY950" s="41">
        <f t="shared" si="933"/>
        <v>0</v>
      </c>
      <c r="AZ950" s="41">
        <v>0</v>
      </c>
      <c r="BA950" s="41">
        <f t="shared" si="934"/>
        <v>0</v>
      </c>
      <c r="BC950" s="21">
        <f t="shared" si="935"/>
        <v>0</v>
      </c>
      <c r="BD950" s="21">
        <f t="shared" si="936"/>
        <v>0</v>
      </c>
      <c r="BE950" s="21">
        <f t="shared" si="937"/>
        <v>0</v>
      </c>
      <c r="BF950" s="21" t="s">
        <v>2492</v>
      </c>
      <c r="BG950" s="41" t="s">
        <v>1489</v>
      </c>
    </row>
    <row r="951" spans="1:59" x14ac:dyDescent="0.3">
      <c r="A951" s="4" t="s">
        <v>908</v>
      </c>
      <c r="B951" s="13"/>
      <c r="C951" s="13" t="s">
        <v>1528</v>
      </c>
      <c r="D951" s="101" t="s">
        <v>2289</v>
      </c>
      <c r="E951" s="102"/>
      <c r="F951" s="13" t="s">
        <v>2384</v>
      </c>
      <c r="G951" s="21">
        <v>8</v>
      </c>
      <c r="H951" s="21">
        <v>0</v>
      </c>
      <c r="I951" s="21">
        <f t="shared" si="914"/>
        <v>0</v>
      </c>
      <c r="J951" s="21">
        <f t="shared" si="915"/>
        <v>0</v>
      </c>
      <c r="K951" s="21">
        <f t="shared" si="916"/>
        <v>0</v>
      </c>
      <c r="L951" s="21">
        <v>0</v>
      </c>
      <c r="M951" s="21">
        <f t="shared" si="917"/>
        <v>0</v>
      </c>
      <c r="N951" s="35"/>
      <c r="O951" s="39"/>
      <c r="U951" s="41">
        <f t="shared" si="918"/>
        <v>0</v>
      </c>
      <c r="W951" s="41">
        <f t="shared" si="919"/>
        <v>0</v>
      </c>
      <c r="X951" s="41">
        <f t="shared" si="920"/>
        <v>0</v>
      </c>
      <c r="Y951" s="41">
        <f t="shared" si="921"/>
        <v>0</v>
      </c>
      <c r="Z951" s="41">
        <f t="shared" si="922"/>
        <v>0</v>
      </c>
      <c r="AA951" s="41">
        <f t="shared" si="923"/>
        <v>0</v>
      </c>
      <c r="AB951" s="41">
        <f t="shared" si="924"/>
        <v>0</v>
      </c>
      <c r="AC951" s="41">
        <f t="shared" si="925"/>
        <v>0</v>
      </c>
      <c r="AD951" s="31"/>
      <c r="AE951" s="21">
        <f t="shared" si="926"/>
        <v>0</v>
      </c>
      <c r="AF951" s="21">
        <f t="shared" si="927"/>
        <v>0</v>
      </c>
      <c r="AG951" s="21">
        <f t="shared" si="928"/>
        <v>0</v>
      </c>
      <c r="AI951" s="41">
        <v>21</v>
      </c>
      <c r="AJ951" s="41">
        <f>H951*0.87248322147651</f>
        <v>0</v>
      </c>
      <c r="AK951" s="41">
        <f>H951*(1-0.87248322147651)</f>
        <v>0</v>
      </c>
      <c r="AL951" s="42" t="s">
        <v>8</v>
      </c>
      <c r="AQ951" s="41">
        <f t="shared" si="929"/>
        <v>0</v>
      </c>
      <c r="AR951" s="41">
        <f t="shared" si="930"/>
        <v>0</v>
      </c>
      <c r="AS951" s="41">
        <f t="shared" si="931"/>
        <v>0</v>
      </c>
      <c r="AT951" s="44" t="s">
        <v>2473</v>
      </c>
      <c r="AU951" s="44" t="s">
        <v>2485</v>
      </c>
      <c r="AV951" s="31" t="s">
        <v>2486</v>
      </c>
      <c r="AX951" s="41">
        <f t="shared" si="932"/>
        <v>0</v>
      </c>
      <c r="AY951" s="41">
        <f t="shared" si="933"/>
        <v>0</v>
      </c>
      <c r="AZ951" s="41">
        <v>0</v>
      </c>
      <c r="BA951" s="41">
        <f t="shared" si="934"/>
        <v>0</v>
      </c>
      <c r="BC951" s="21">
        <f t="shared" si="935"/>
        <v>0</v>
      </c>
      <c r="BD951" s="21">
        <f t="shared" si="936"/>
        <v>0</v>
      </c>
      <c r="BE951" s="21">
        <f t="shared" si="937"/>
        <v>0</v>
      </c>
      <c r="BF951" s="21" t="s">
        <v>2492</v>
      </c>
      <c r="BG951" s="41" t="s">
        <v>1489</v>
      </c>
    </row>
    <row r="952" spans="1:59" x14ac:dyDescent="0.3">
      <c r="A952" s="4" t="s">
        <v>909</v>
      </c>
      <c r="B952" s="13"/>
      <c r="C952" s="13" t="s">
        <v>1529</v>
      </c>
      <c r="D952" s="101" t="s">
        <v>2290</v>
      </c>
      <c r="E952" s="102"/>
      <c r="F952" s="13" t="s">
        <v>2384</v>
      </c>
      <c r="G952" s="21">
        <v>8</v>
      </c>
      <c r="H952" s="21">
        <v>0</v>
      </c>
      <c r="I952" s="21">
        <f t="shared" si="914"/>
        <v>0</v>
      </c>
      <c r="J952" s="21">
        <f t="shared" si="915"/>
        <v>0</v>
      </c>
      <c r="K952" s="21">
        <f t="shared" si="916"/>
        <v>0</v>
      </c>
      <c r="L952" s="21">
        <v>0</v>
      </c>
      <c r="M952" s="21">
        <f t="shared" si="917"/>
        <v>0</v>
      </c>
      <c r="N952" s="35"/>
      <c r="O952" s="39"/>
      <c r="U952" s="41">
        <f t="shared" si="918"/>
        <v>0</v>
      </c>
      <c r="W952" s="41">
        <f t="shared" si="919"/>
        <v>0</v>
      </c>
      <c r="X952" s="41">
        <f t="shared" si="920"/>
        <v>0</v>
      </c>
      <c r="Y952" s="41">
        <f t="shared" si="921"/>
        <v>0</v>
      </c>
      <c r="Z952" s="41">
        <f t="shared" si="922"/>
        <v>0</v>
      </c>
      <c r="AA952" s="41">
        <f t="shared" si="923"/>
        <v>0</v>
      </c>
      <c r="AB952" s="41">
        <f t="shared" si="924"/>
        <v>0</v>
      </c>
      <c r="AC952" s="41">
        <f t="shared" si="925"/>
        <v>0</v>
      </c>
      <c r="AD952" s="31"/>
      <c r="AE952" s="21">
        <f t="shared" si="926"/>
        <v>0</v>
      </c>
      <c r="AF952" s="21">
        <f t="shared" si="927"/>
        <v>0</v>
      </c>
      <c r="AG952" s="21">
        <f t="shared" si="928"/>
        <v>0</v>
      </c>
      <c r="AI952" s="41">
        <v>21</v>
      </c>
      <c r="AJ952" s="41">
        <f>H952*0.891304347826087</f>
        <v>0</v>
      </c>
      <c r="AK952" s="41">
        <f>H952*(1-0.891304347826087)</f>
        <v>0</v>
      </c>
      <c r="AL952" s="42" t="s">
        <v>8</v>
      </c>
      <c r="AQ952" s="41">
        <f t="shared" si="929"/>
        <v>0</v>
      </c>
      <c r="AR952" s="41">
        <f t="shared" si="930"/>
        <v>0</v>
      </c>
      <c r="AS952" s="41">
        <f t="shared" si="931"/>
        <v>0</v>
      </c>
      <c r="AT952" s="44" t="s">
        <v>2473</v>
      </c>
      <c r="AU952" s="44" t="s">
        <v>2485</v>
      </c>
      <c r="AV952" s="31" t="s">
        <v>2486</v>
      </c>
      <c r="AX952" s="41">
        <f t="shared" si="932"/>
        <v>0</v>
      </c>
      <c r="AY952" s="41">
        <f t="shared" si="933"/>
        <v>0</v>
      </c>
      <c r="AZ952" s="41">
        <v>0</v>
      </c>
      <c r="BA952" s="41">
        <f t="shared" si="934"/>
        <v>0</v>
      </c>
      <c r="BC952" s="21">
        <f t="shared" si="935"/>
        <v>0</v>
      </c>
      <c r="BD952" s="21">
        <f t="shared" si="936"/>
        <v>0</v>
      </c>
      <c r="BE952" s="21">
        <f t="shared" si="937"/>
        <v>0</v>
      </c>
      <c r="BF952" s="21" t="s">
        <v>2492</v>
      </c>
      <c r="BG952" s="41" t="s">
        <v>1489</v>
      </c>
    </row>
    <row r="953" spans="1:59" x14ac:dyDescent="0.3">
      <c r="A953" s="4" t="s">
        <v>910</v>
      </c>
      <c r="B953" s="13"/>
      <c r="C953" s="13" t="s">
        <v>1530</v>
      </c>
      <c r="D953" s="101" t="s">
        <v>2291</v>
      </c>
      <c r="E953" s="102"/>
      <c r="F953" s="13" t="s">
        <v>2384</v>
      </c>
      <c r="G953" s="21">
        <v>8</v>
      </c>
      <c r="H953" s="21">
        <v>0</v>
      </c>
      <c r="I953" s="21">
        <f t="shared" si="914"/>
        <v>0</v>
      </c>
      <c r="J953" s="21">
        <f t="shared" si="915"/>
        <v>0</v>
      </c>
      <c r="K953" s="21">
        <f t="shared" si="916"/>
        <v>0</v>
      </c>
      <c r="L953" s="21">
        <v>0</v>
      </c>
      <c r="M953" s="21">
        <f t="shared" si="917"/>
        <v>0</v>
      </c>
      <c r="N953" s="35"/>
      <c r="O953" s="39"/>
      <c r="U953" s="41">
        <f t="shared" si="918"/>
        <v>0</v>
      </c>
      <c r="W953" s="41">
        <f t="shared" si="919"/>
        <v>0</v>
      </c>
      <c r="X953" s="41">
        <f t="shared" si="920"/>
        <v>0</v>
      </c>
      <c r="Y953" s="41">
        <f t="shared" si="921"/>
        <v>0</v>
      </c>
      <c r="Z953" s="41">
        <f t="shared" si="922"/>
        <v>0</v>
      </c>
      <c r="AA953" s="41">
        <f t="shared" si="923"/>
        <v>0</v>
      </c>
      <c r="AB953" s="41">
        <f t="shared" si="924"/>
        <v>0</v>
      </c>
      <c r="AC953" s="41">
        <f t="shared" si="925"/>
        <v>0</v>
      </c>
      <c r="AD953" s="31"/>
      <c r="AE953" s="21">
        <f t="shared" si="926"/>
        <v>0</v>
      </c>
      <c r="AF953" s="21">
        <f t="shared" si="927"/>
        <v>0</v>
      </c>
      <c r="AG953" s="21">
        <f t="shared" si="928"/>
        <v>0</v>
      </c>
      <c r="AI953" s="41">
        <v>21</v>
      </c>
      <c r="AJ953" s="41">
        <f>H953*0.507772020725389</f>
        <v>0</v>
      </c>
      <c r="AK953" s="41">
        <f>H953*(1-0.507772020725389)</f>
        <v>0</v>
      </c>
      <c r="AL953" s="42" t="s">
        <v>8</v>
      </c>
      <c r="AQ953" s="41">
        <f t="shared" si="929"/>
        <v>0</v>
      </c>
      <c r="AR953" s="41">
        <f t="shared" si="930"/>
        <v>0</v>
      </c>
      <c r="AS953" s="41">
        <f t="shared" si="931"/>
        <v>0</v>
      </c>
      <c r="AT953" s="44" t="s">
        <v>2473</v>
      </c>
      <c r="AU953" s="44" t="s">
        <v>2485</v>
      </c>
      <c r="AV953" s="31" t="s">
        <v>2486</v>
      </c>
      <c r="AX953" s="41">
        <f t="shared" si="932"/>
        <v>0</v>
      </c>
      <c r="AY953" s="41">
        <f t="shared" si="933"/>
        <v>0</v>
      </c>
      <c r="AZ953" s="41">
        <v>0</v>
      </c>
      <c r="BA953" s="41">
        <f t="shared" si="934"/>
        <v>0</v>
      </c>
      <c r="BC953" s="21">
        <f t="shared" si="935"/>
        <v>0</v>
      </c>
      <c r="BD953" s="21">
        <f t="shared" si="936"/>
        <v>0</v>
      </c>
      <c r="BE953" s="21">
        <f t="shared" si="937"/>
        <v>0</v>
      </c>
      <c r="BF953" s="21" t="s">
        <v>2492</v>
      </c>
      <c r="BG953" s="41" t="s">
        <v>1489</v>
      </c>
    </row>
    <row r="954" spans="1:59" x14ac:dyDescent="0.3">
      <c r="A954" s="4" t="s">
        <v>911</v>
      </c>
      <c r="B954" s="13"/>
      <c r="C954" s="13" t="s">
        <v>1531</v>
      </c>
      <c r="D954" s="101" t="s">
        <v>2292</v>
      </c>
      <c r="E954" s="102"/>
      <c r="F954" s="13" t="s">
        <v>2384</v>
      </c>
      <c r="G954" s="21">
        <v>8</v>
      </c>
      <c r="H954" s="21">
        <v>0</v>
      </c>
      <c r="I954" s="21">
        <f t="shared" si="914"/>
        <v>0</v>
      </c>
      <c r="J954" s="21">
        <f t="shared" si="915"/>
        <v>0</v>
      </c>
      <c r="K954" s="21">
        <f t="shared" si="916"/>
        <v>0</v>
      </c>
      <c r="L954" s="21">
        <v>0</v>
      </c>
      <c r="M954" s="21">
        <f t="shared" si="917"/>
        <v>0</v>
      </c>
      <c r="N954" s="35"/>
      <c r="O954" s="39"/>
      <c r="U954" s="41">
        <f t="shared" si="918"/>
        <v>0</v>
      </c>
      <c r="W954" s="41">
        <f t="shared" si="919"/>
        <v>0</v>
      </c>
      <c r="X954" s="41">
        <f t="shared" si="920"/>
        <v>0</v>
      </c>
      <c r="Y954" s="41">
        <f t="shared" si="921"/>
        <v>0</v>
      </c>
      <c r="Z954" s="41">
        <f t="shared" si="922"/>
        <v>0</v>
      </c>
      <c r="AA954" s="41">
        <f t="shared" si="923"/>
        <v>0</v>
      </c>
      <c r="AB954" s="41">
        <f t="shared" si="924"/>
        <v>0</v>
      </c>
      <c r="AC954" s="41">
        <f t="shared" si="925"/>
        <v>0</v>
      </c>
      <c r="AD954" s="31"/>
      <c r="AE954" s="21">
        <f t="shared" si="926"/>
        <v>0</v>
      </c>
      <c r="AF954" s="21">
        <f t="shared" si="927"/>
        <v>0</v>
      </c>
      <c r="AG954" s="21">
        <f t="shared" si="928"/>
        <v>0</v>
      </c>
      <c r="AI954" s="41">
        <v>21</v>
      </c>
      <c r="AJ954" s="41">
        <f>H954*0.666666666666667</f>
        <v>0</v>
      </c>
      <c r="AK954" s="41">
        <f>H954*(1-0.666666666666667)</f>
        <v>0</v>
      </c>
      <c r="AL954" s="42" t="s">
        <v>8</v>
      </c>
      <c r="AQ954" s="41">
        <f t="shared" si="929"/>
        <v>0</v>
      </c>
      <c r="AR954" s="41">
        <f t="shared" si="930"/>
        <v>0</v>
      </c>
      <c r="AS954" s="41">
        <f t="shared" si="931"/>
        <v>0</v>
      </c>
      <c r="AT954" s="44" t="s">
        <v>2473</v>
      </c>
      <c r="AU954" s="44" t="s">
        <v>2485</v>
      </c>
      <c r="AV954" s="31" t="s">
        <v>2486</v>
      </c>
      <c r="AX954" s="41">
        <f t="shared" si="932"/>
        <v>0</v>
      </c>
      <c r="AY954" s="41">
        <f t="shared" si="933"/>
        <v>0</v>
      </c>
      <c r="AZ954" s="41">
        <v>0</v>
      </c>
      <c r="BA954" s="41">
        <f t="shared" si="934"/>
        <v>0</v>
      </c>
      <c r="BC954" s="21">
        <f t="shared" si="935"/>
        <v>0</v>
      </c>
      <c r="BD954" s="21">
        <f t="shared" si="936"/>
        <v>0</v>
      </c>
      <c r="BE954" s="21">
        <f t="shared" si="937"/>
        <v>0</v>
      </c>
      <c r="BF954" s="21" t="s">
        <v>2492</v>
      </c>
      <c r="BG954" s="41" t="s">
        <v>1489</v>
      </c>
    </row>
    <row r="955" spans="1:59" x14ac:dyDescent="0.3">
      <c r="A955" s="4" t="s">
        <v>912</v>
      </c>
      <c r="B955" s="13"/>
      <c r="C955" s="13" t="s">
        <v>1532</v>
      </c>
      <c r="D955" s="101" t="s">
        <v>2293</v>
      </c>
      <c r="E955" s="102"/>
      <c r="F955" s="13" t="s">
        <v>2384</v>
      </c>
      <c r="G955" s="21">
        <v>5</v>
      </c>
      <c r="H955" s="21">
        <v>0</v>
      </c>
      <c r="I955" s="21">
        <f t="shared" si="914"/>
        <v>0</v>
      </c>
      <c r="J955" s="21">
        <f t="shared" si="915"/>
        <v>0</v>
      </c>
      <c r="K955" s="21">
        <f t="shared" si="916"/>
        <v>0</v>
      </c>
      <c r="L955" s="21">
        <v>0</v>
      </c>
      <c r="M955" s="21">
        <f t="shared" si="917"/>
        <v>0</v>
      </c>
      <c r="N955" s="35"/>
      <c r="O955" s="39"/>
      <c r="U955" s="41">
        <f t="shared" si="918"/>
        <v>0</v>
      </c>
      <c r="W955" s="41">
        <f t="shared" si="919"/>
        <v>0</v>
      </c>
      <c r="X955" s="41">
        <f t="shared" si="920"/>
        <v>0</v>
      </c>
      <c r="Y955" s="41">
        <f t="shared" si="921"/>
        <v>0</v>
      </c>
      <c r="Z955" s="41">
        <f t="shared" si="922"/>
        <v>0</v>
      </c>
      <c r="AA955" s="41">
        <f t="shared" si="923"/>
        <v>0</v>
      </c>
      <c r="AB955" s="41">
        <f t="shared" si="924"/>
        <v>0</v>
      </c>
      <c r="AC955" s="41">
        <f t="shared" si="925"/>
        <v>0</v>
      </c>
      <c r="AD955" s="31"/>
      <c r="AE955" s="21">
        <f t="shared" si="926"/>
        <v>0</v>
      </c>
      <c r="AF955" s="21">
        <f t="shared" si="927"/>
        <v>0</v>
      </c>
      <c r="AG955" s="21">
        <f t="shared" si="928"/>
        <v>0</v>
      </c>
      <c r="AI955" s="41">
        <v>21</v>
      </c>
      <c r="AJ955" s="41">
        <f>H955*0.53125</f>
        <v>0</v>
      </c>
      <c r="AK955" s="41">
        <f>H955*(1-0.53125)</f>
        <v>0</v>
      </c>
      <c r="AL955" s="42" t="s">
        <v>8</v>
      </c>
      <c r="AQ955" s="41">
        <f t="shared" si="929"/>
        <v>0</v>
      </c>
      <c r="AR955" s="41">
        <f t="shared" si="930"/>
        <v>0</v>
      </c>
      <c r="AS955" s="41">
        <f t="shared" si="931"/>
        <v>0</v>
      </c>
      <c r="AT955" s="44" t="s">
        <v>2473</v>
      </c>
      <c r="AU955" s="44" t="s">
        <v>2485</v>
      </c>
      <c r="AV955" s="31" t="s">
        <v>2486</v>
      </c>
      <c r="AX955" s="41">
        <f t="shared" si="932"/>
        <v>0</v>
      </c>
      <c r="AY955" s="41">
        <f t="shared" si="933"/>
        <v>0</v>
      </c>
      <c r="AZ955" s="41">
        <v>0</v>
      </c>
      <c r="BA955" s="41">
        <f t="shared" si="934"/>
        <v>0</v>
      </c>
      <c r="BC955" s="21">
        <f t="shared" si="935"/>
        <v>0</v>
      </c>
      <c r="BD955" s="21">
        <f t="shared" si="936"/>
        <v>0</v>
      </c>
      <c r="BE955" s="21">
        <f t="shared" si="937"/>
        <v>0</v>
      </c>
      <c r="BF955" s="21" t="s">
        <v>2492</v>
      </c>
      <c r="BG955" s="41" t="s">
        <v>1489</v>
      </c>
    </row>
    <row r="956" spans="1:59" x14ac:dyDescent="0.3">
      <c r="A956" s="4" t="s">
        <v>913</v>
      </c>
      <c r="B956" s="13"/>
      <c r="C956" s="13" t="s">
        <v>1533</v>
      </c>
      <c r="D956" s="101" t="s">
        <v>2268</v>
      </c>
      <c r="E956" s="102"/>
      <c r="F956" s="13" t="s">
        <v>2384</v>
      </c>
      <c r="G956" s="21">
        <v>2</v>
      </c>
      <c r="H956" s="21">
        <v>0</v>
      </c>
      <c r="I956" s="21">
        <f t="shared" si="914"/>
        <v>0</v>
      </c>
      <c r="J956" s="21">
        <f t="shared" si="915"/>
        <v>0</v>
      </c>
      <c r="K956" s="21">
        <f t="shared" si="916"/>
        <v>0</v>
      </c>
      <c r="L956" s="21">
        <v>0</v>
      </c>
      <c r="M956" s="21">
        <f t="shared" si="917"/>
        <v>0</v>
      </c>
      <c r="N956" s="35"/>
      <c r="O956" s="39"/>
      <c r="U956" s="41">
        <f t="shared" si="918"/>
        <v>0</v>
      </c>
      <c r="W956" s="41">
        <f t="shared" si="919"/>
        <v>0</v>
      </c>
      <c r="X956" s="41">
        <f t="shared" si="920"/>
        <v>0</v>
      </c>
      <c r="Y956" s="41">
        <f t="shared" si="921"/>
        <v>0</v>
      </c>
      <c r="Z956" s="41">
        <f t="shared" si="922"/>
        <v>0</v>
      </c>
      <c r="AA956" s="41">
        <f t="shared" si="923"/>
        <v>0</v>
      </c>
      <c r="AB956" s="41">
        <f t="shared" si="924"/>
        <v>0</v>
      </c>
      <c r="AC956" s="41">
        <f t="shared" si="925"/>
        <v>0</v>
      </c>
      <c r="AD956" s="31"/>
      <c r="AE956" s="21">
        <f t="shared" si="926"/>
        <v>0</v>
      </c>
      <c r="AF956" s="21">
        <f t="shared" si="927"/>
        <v>0</v>
      </c>
      <c r="AG956" s="21">
        <f t="shared" si="928"/>
        <v>0</v>
      </c>
      <c r="AI956" s="41">
        <v>21</v>
      </c>
      <c r="AJ956" s="41">
        <f>H956*0.208860759493671</f>
        <v>0</v>
      </c>
      <c r="AK956" s="41">
        <f>H956*(1-0.208860759493671)</f>
        <v>0</v>
      </c>
      <c r="AL956" s="42" t="s">
        <v>8</v>
      </c>
      <c r="AQ956" s="41">
        <f t="shared" si="929"/>
        <v>0</v>
      </c>
      <c r="AR956" s="41">
        <f t="shared" si="930"/>
        <v>0</v>
      </c>
      <c r="AS956" s="41">
        <f t="shared" si="931"/>
        <v>0</v>
      </c>
      <c r="AT956" s="44" t="s">
        <v>2473</v>
      </c>
      <c r="AU956" s="44" t="s">
        <v>2485</v>
      </c>
      <c r="AV956" s="31" t="s">
        <v>2486</v>
      </c>
      <c r="AX956" s="41">
        <f t="shared" si="932"/>
        <v>0</v>
      </c>
      <c r="AY956" s="41">
        <f t="shared" si="933"/>
        <v>0</v>
      </c>
      <c r="AZ956" s="41">
        <v>0</v>
      </c>
      <c r="BA956" s="41">
        <f t="shared" si="934"/>
        <v>0</v>
      </c>
      <c r="BC956" s="21">
        <f t="shared" si="935"/>
        <v>0</v>
      </c>
      <c r="BD956" s="21">
        <f t="shared" si="936"/>
        <v>0</v>
      </c>
      <c r="BE956" s="21">
        <f t="shared" si="937"/>
        <v>0</v>
      </c>
      <c r="BF956" s="21" t="s">
        <v>2492</v>
      </c>
      <c r="BG956" s="41" t="s">
        <v>1489</v>
      </c>
    </row>
    <row r="957" spans="1:59" x14ac:dyDescent="0.3">
      <c r="A957" s="4" t="s">
        <v>914</v>
      </c>
      <c r="B957" s="13"/>
      <c r="C957" s="13" t="s">
        <v>1534</v>
      </c>
      <c r="D957" s="101" t="s">
        <v>2294</v>
      </c>
      <c r="E957" s="102"/>
      <c r="F957" s="13" t="s">
        <v>2385</v>
      </c>
      <c r="G957" s="21">
        <v>2660</v>
      </c>
      <c r="H957" s="21">
        <v>0</v>
      </c>
      <c r="I957" s="21">
        <f t="shared" si="914"/>
        <v>0</v>
      </c>
      <c r="J957" s="21">
        <f t="shared" si="915"/>
        <v>0</v>
      </c>
      <c r="K957" s="21">
        <f t="shared" si="916"/>
        <v>0</v>
      </c>
      <c r="L957" s="21">
        <v>0</v>
      </c>
      <c r="M957" s="21">
        <f t="shared" si="917"/>
        <v>0</v>
      </c>
      <c r="N957" s="35"/>
      <c r="O957" s="39"/>
      <c r="U957" s="41">
        <f t="shared" si="918"/>
        <v>0</v>
      </c>
      <c r="W957" s="41">
        <f t="shared" si="919"/>
        <v>0</v>
      </c>
      <c r="X957" s="41">
        <f t="shared" si="920"/>
        <v>0</v>
      </c>
      <c r="Y957" s="41">
        <f t="shared" si="921"/>
        <v>0</v>
      </c>
      <c r="Z957" s="41">
        <f t="shared" si="922"/>
        <v>0</v>
      </c>
      <c r="AA957" s="41">
        <f t="shared" si="923"/>
        <v>0</v>
      </c>
      <c r="AB957" s="41">
        <f t="shared" si="924"/>
        <v>0</v>
      </c>
      <c r="AC957" s="41">
        <f t="shared" si="925"/>
        <v>0</v>
      </c>
      <c r="AD957" s="31"/>
      <c r="AE957" s="21">
        <f t="shared" si="926"/>
        <v>0</v>
      </c>
      <c r="AF957" s="21">
        <f t="shared" si="927"/>
        <v>0</v>
      </c>
      <c r="AG957" s="21">
        <f t="shared" si="928"/>
        <v>0</v>
      </c>
      <c r="AI957" s="41">
        <v>21</v>
      </c>
      <c r="AJ957" s="41">
        <f>H957*0.3125</f>
        <v>0</v>
      </c>
      <c r="AK957" s="41">
        <f>H957*(1-0.3125)</f>
        <v>0</v>
      </c>
      <c r="AL957" s="42" t="s">
        <v>8</v>
      </c>
      <c r="AQ957" s="41">
        <f t="shared" si="929"/>
        <v>0</v>
      </c>
      <c r="AR957" s="41">
        <f t="shared" si="930"/>
        <v>0</v>
      </c>
      <c r="AS957" s="41">
        <f t="shared" si="931"/>
        <v>0</v>
      </c>
      <c r="AT957" s="44" t="s">
        <v>2473</v>
      </c>
      <c r="AU957" s="44" t="s">
        <v>2485</v>
      </c>
      <c r="AV957" s="31" t="s">
        <v>2486</v>
      </c>
      <c r="AX957" s="41">
        <f t="shared" si="932"/>
        <v>0</v>
      </c>
      <c r="AY957" s="41">
        <f t="shared" si="933"/>
        <v>0</v>
      </c>
      <c r="AZ957" s="41">
        <v>0</v>
      </c>
      <c r="BA957" s="41">
        <f t="shared" si="934"/>
        <v>0</v>
      </c>
      <c r="BC957" s="21">
        <f t="shared" si="935"/>
        <v>0</v>
      </c>
      <c r="BD957" s="21">
        <f t="shared" si="936"/>
        <v>0</v>
      </c>
      <c r="BE957" s="21">
        <f t="shared" si="937"/>
        <v>0</v>
      </c>
      <c r="BF957" s="21" t="s">
        <v>2492</v>
      </c>
      <c r="BG957" s="41" t="s">
        <v>1489</v>
      </c>
    </row>
    <row r="958" spans="1:59" x14ac:dyDescent="0.3">
      <c r="A958" s="4" t="s">
        <v>915</v>
      </c>
      <c r="B958" s="13"/>
      <c r="C958" s="13" t="s">
        <v>1535</v>
      </c>
      <c r="D958" s="101" t="s">
        <v>2295</v>
      </c>
      <c r="E958" s="102"/>
      <c r="F958" s="13" t="s">
        <v>2385</v>
      </c>
      <c r="G958" s="21">
        <v>40</v>
      </c>
      <c r="H958" s="21">
        <v>0</v>
      </c>
      <c r="I958" s="21">
        <f t="shared" si="914"/>
        <v>0</v>
      </c>
      <c r="J958" s="21">
        <f t="shared" si="915"/>
        <v>0</v>
      </c>
      <c r="K958" s="21">
        <f t="shared" si="916"/>
        <v>0</v>
      </c>
      <c r="L958" s="21">
        <v>0</v>
      </c>
      <c r="M958" s="21">
        <f t="shared" si="917"/>
        <v>0</v>
      </c>
      <c r="N958" s="35"/>
      <c r="O958" s="39"/>
      <c r="U958" s="41">
        <f t="shared" si="918"/>
        <v>0</v>
      </c>
      <c r="W958" s="41">
        <f t="shared" si="919"/>
        <v>0</v>
      </c>
      <c r="X958" s="41">
        <f t="shared" si="920"/>
        <v>0</v>
      </c>
      <c r="Y958" s="41">
        <f t="shared" si="921"/>
        <v>0</v>
      </c>
      <c r="Z958" s="41">
        <f t="shared" si="922"/>
        <v>0</v>
      </c>
      <c r="AA958" s="41">
        <f t="shared" si="923"/>
        <v>0</v>
      </c>
      <c r="AB958" s="41">
        <f t="shared" si="924"/>
        <v>0</v>
      </c>
      <c r="AC958" s="41">
        <f t="shared" si="925"/>
        <v>0</v>
      </c>
      <c r="AD958" s="31"/>
      <c r="AE958" s="21">
        <f t="shared" si="926"/>
        <v>0</v>
      </c>
      <c r="AF958" s="21">
        <f t="shared" si="927"/>
        <v>0</v>
      </c>
      <c r="AG958" s="21">
        <f t="shared" si="928"/>
        <v>0</v>
      </c>
      <c r="AI958" s="41">
        <v>21</v>
      </c>
      <c r="AJ958" s="41">
        <f>H958*0.481481481481481</f>
        <v>0</v>
      </c>
      <c r="AK958" s="41">
        <f>H958*(1-0.481481481481481)</f>
        <v>0</v>
      </c>
      <c r="AL958" s="42" t="s">
        <v>8</v>
      </c>
      <c r="AQ958" s="41">
        <f t="shared" si="929"/>
        <v>0</v>
      </c>
      <c r="AR958" s="41">
        <f t="shared" si="930"/>
        <v>0</v>
      </c>
      <c r="AS958" s="41">
        <f t="shared" si="931"/>
        <v>0</v>
      </c>
      <c r="AT958" s="44" t="s">
        <v>2473</v>
      </c>
      <c r="AU958" s="44" t="s">
        <v>2485</v>
      </c>
      <c r="AV958" s="31" t="s">
        <v>2486</v>
      </c>
      <c r="AX958" s="41">
        <f t="shared" si="932"/>
        <v>0</v>
      </c>
      <c r="AY958" s="41">
        <f t="shared" si="933"/>
        <v>0</v>
      </c>
      <c r="AZ958" s="41">
        <v>0</v>
      </c>
      <c r="BA958" s="41">
        <f t="shared" si="934"/>
        <v>0</v>
      </c>
      <c r="BC958" s="21">
        <f t="shared" si="935"/>
        <v>0</v>
      </c>
      <c r="BD958" s="21">
        <f t="shared" si="936"/>
        <v>0</v>
      </c>
      <c r="BE958" s="21">
        <f t="shared" si="937"/>
        <v>0</v>
      </c>
      <c r="BF958" s="21" t="s">
        <v>2492</v>
      </c>
      <c r="BG958" s="41" t="s">
        <v>1489</v>
      </c>
    </row>
    <row r="959" spans="1:59" x14ac:dyDescent="0.3">
      <c r="A959" s="4" t="s">
        <v>916</v>
      </c>
      <c r="B959" s="13"/>
      <c r="C959" s="13" t="s">
        <v>1536</v>
      </c>
      <c r="D959" s="101" t="s">
        <v>2296</v>
      </c>
      <c r="E959" s="102"/>
      <c r="F959" s="13" t="s">
        <v>2384</v>
      </c>
      <c r="G959" s="21">
        <v>80</v>
      </c>
      <c r="H959" s="21">
        <v>0</v>
      </c>
      <c r="I959" s="21">
        <f t="shared" si="914"/>
        <v>0</v>
      </c>
      <c r="J959" s="21">
        <f t="shared" si="915"/>
        <v>0</v>
      </c>
      <c r="K959" s="21">
        <f t="shared" si="916"/>
        <v>0</v>
      </c>
      <c r="L959" s="21">
        <v>0</v>
      </c>
      <c r="M959" s="21">
        <f t="shared" si="917"/>
        <v>0</v>
      </c>
      <c r="N959" s="35"/>
      <c r="O959" s="39"/>
      <c r="U959" s="41">
        <f t="shared" si="918"/>
        <v>0</v>
      </c>
      <c r="W959" s="41">
        <f t="shared" si="919"/>
        <v>0</v>
      </c>
      <c r="X959" s="41">
        <f t="shared" si="920"/>
        <v>0</v>
      </c>
      <c r="Y959" s="41">
        <f t="shared" si="921"/>
        <v>0</v>
      </c>
      <c r="Z959" s="41">
        <f t="shared" si="922"/>
        <v>0</v>
      </c>
      <c r="AA959" s="41">
        <f t="shared" si="923"/>
        <v>0</v>
      </c>
      <c r="AB959" s="41">
        <f t="shared" si="924"/>
        <v>0</v>
      </c>
      <c r="AC959" s="41">
        <f t="shared" si="925"/>
        <v>0</v>
      </c>
      <c r="AD959" s="31"/>
      <c r="AE959" s="21">
        <f t="shared" si="926"/>
        <v>0</v>
      </c>
      <c r="AF959" s="21">
        <f t="shared" si="927"/>
        <v>0</v>
      </c>
      <c r="AG959" s="21">
        <f t="shared" si="928"/>
        <v>0</v>
      </c>
      <c r="AI959" s="41">
        <v>21</v>
      </c>
      <c r="AJ959" s="41">
        <f>H959*0.0797546012269939</f>
        <v>0</v>
      </c>
      <c r="AK959" s="41">
        <f>H959*(1-0.0797546012269939)</f>
        <v>0</v>
      </c>
      <c r="AL959" s="42" t="s">
        <v>8</v>
      </c>
      <c r="AQ959" s="41">
        <f t="shared" si="929"/>
        <v>0</v>
      </c>
      <c r="AR959" s="41">
        <f t="shared" si="930"/>
        <v>0</v>
      </c>
      <c r="AS959" s="41">
        <f t="shared" si="931"/>
        <v>0</v>
      </c>
      <c r="AT959" s="44" t="s">
        <v>2473</v>
      </c>
      <c r="AU959" s="44" t="s">
        <v>2485</v>
      </c>
      <c r="AV959" s="31" t="s">
        <v>2486</v>
      </c>
      <c r="AX959" s="41">
        <f t="shared" si="932"/>
        <v>0</v>
      </c>
      <c r="AY959" s="41">
        <f t="shared" si="933"/>
        <v>0</v>
      </c>
      <c r="AZ959" s="41">
        <v>0</v>
      </c>
      <c r="BA959" s="41">
        <f t="shared" si="934"/>
        <v>0</v>
      </c>
      <c r="BC959" s="21">
        <f t="shared" si="935"/>
        <v>0</v>
      </c>
      <c r="BD959" s="21">
        <f t="shared" si="936"/>
        <v>0</v>
      </c>
      <c r="BE959" s="21">
        <f t="shared" si="937"/>
        <v>0</v>
      </c>
      <c r="BF959" s="21" t="s">
        <v>2492</v>
      </c>
      <c r="BG959" s="41" t="s">
        <v>1489</v>
      </c>
    </row>
    <row r="960" spans="1:59" x14ac:dyDescent="0.3">
      <c r="A960" s="4" t="s">
        <v>917</v>
      </c>
      <c r="B960" s="13"/>
      <c r="C960" s="13" t="s">
        <v>1537</v>
      </c>
      <c r="D960" s="101" t="s">
        <v>2297</v>
      </c>
      <c r="E960" s="102"/>
      <c r="F960" s="13" t="s">
        <v>2384</v>
      </c>
      <c r="G960" s="21">
        <v>36</v>
      </c>
      <c r="H960" s="21">
        <v>0</v>
      </c>
      <c r="I960" s="21">
        <f t="shared" si="914"/>
        <v>0</v>
      </c>
      <c r="J960" s="21">
        <f t="shared" si="915"/>
        <v>0</v>
      </c>
      <c r="K960" s="21">
        <f t="shared" si="916"/>
        <v>0</v>
      </c>
      <c r="L960" s="21">
        <v>0</v>
      </c>
      <c r="M960" s="21">
        <f t="shared" si="917"/>
        <v>0</v>
      </c>
      <c r="N960" s="35"/>
      <c r="O960" s="39"/>
      <c r="U960" s="41">
        <f t="shared" si="918"/>
        <v>0</v>
      </c>
      <c r="W960" s="41">
        <f t="shared" si="919"/>
        <v>0</v>
      </c>
      <c r="X960" s="41">
        <f t="shared" si="920"/>
        <v>0</v>
      </c>
      <c r="Y960" s="41">
        <f t="shared" si="921"/>
        <v>0</v>
      </c>
      <c r="Z960" s="41">
        <f t="shared" si="922"/>
        <v>0</v>
      </c>
      <c r="AA960" s="41">
        <f t="shared" si="923"/>
        <v>0</v>
      </c>
      <c r="AB960" s="41">
        <f t="shared" si="924"/>
        <v>0</v>
      </c>
      <c r="AC960" s="41">
        <f t="shared" si="925"/>
        <v>0</v>
      </c>
      <c r="AD960" s="31"/>
      <c r="AE960" s="21">
        <f t="shared" si="926"/>
        <v>0</v>
      </c>
      <c r="AF960" s="21">
        <f t="shared" si="927"/>
        <v>0</v>
      </c>
      <c r="AG960" s="21">
        <f t="shared" si="928"/>
        <v>0</v>
      </c>
      <c r="AI960" s="41">
        <v>21</v>
      </c>
      <c r="AJ960" s="41">
        <f>H960*0.553571428571429</f>
        <v>0</v>
      </c>
      <c r="AK960" s="41">
        <f>H960*(1-0.553571428571429)</f>
        <v>0</v>
      </c>
      <c r="AL960" s="42" t="s">
        <v>8</v>
      </c>
      <c r="AQ960" s="41">
        <f t="shared" si="929"/>
        <v>0</v>
      </c>
      <c r="AR960" s="41">
        <f t="shared" si="930"/>
        <v>0</v>
      </c>
      <c r="AS960" s="41">
        <f t="shared" si="931"/>
        <v>0</v>
      </c>
      <c r="AT960" s="44" t="s">
        <v>2473</v>
      </c>
      <c r="AU960" s="44" t="s">
        <v>2485</v>
      </c>
      <c r="AV960" s="31" t="s">
        <v>2486</v>
      </c>
      <c r="AX960" s="41">
        <f t="shared" si="932"/>
        <v>0</v>
      </c>
      <c r="AY960" s="41">
        <f t="shared" si="933"/>
        <v>0</v>
      </c>
      <c r="AZ960" s="41">
        <v>0</v>
      </c>
      <c r="BA960" s="41">
        <f t="shared" si="934"/>
        <v>0</v>
      </c>
      <c r="BC960" s="21">
        <f t="shared" si="935"/>
        <v>0</v>
      </c>
      <c r="BD960" s="21">
        <f t="shared" si="936"/>
        <v>0</v>
      </c>
      <c r="BE960" s="21">
        <f t="shared" si="937"/>
        <v>0</v>
      </c>
      <c r="BF960" s="21" t="s">
        <v>2492</v>
      </c>
      <c r="BG960" s="41" t="s">
        <v>1489</v>
      </c>
    </row>
    <row r="961" spans="1:59" x14ac:dyDescent="0.3">
      <c r="A961" s="4" t="s">
        <v>918</v>
      </c>
      <c r="B961" s="13"/>
      <c r="C961" s="13" t="s">
        <v>1538</v>
      </c>
      <c r="D961" s="101" t="s">
        <v>2273</v>
      </c>
      <c r="E961" s="102"/>
      <c r="F961" s="13" t="s">
        <v>2384</v>
      </c>
      <c r="G961" s="21">
        <v>1</v>
      </c>
      <c r="H961" s="21">
        <v>0</v>
      </c>
      <c r="I961" s="21">
        <f t="shared" si="914"/>
        <v>0</v>
      </c>
      <c r="J961" s="21">
        <f t="shared" si="915"/>
        <v>0</v>
      </c>
      <c r="K961" s="21">
        <f t="shared" si="916"/>
        <v>0</v>
      </c>
      <c r="L961" s="21">
        <v>0</v>
      </c>
      <c r="M961" s="21">
        <f t="shared" si="917"/>
        <v>0</v>
      </c>
      <c r="N961" s="35"/>
      <c r="O961" s="39"/>
      <c r="U961" s="41">
        <f t="shared" si="918"/>
        <v>0</v>
      </c>
      <c r="W961" s="41">
        <f t="shared" si="919"/>
        <v>0</v>
      </c>
      <c r="X961" s="41">
        <f t="shared" si="920"/>
        <v>0</v>
      </c>
      <c r="Y961" s="41">
        <f t="shared" si="921"/>
        <v>0</v>
      </c>
      <c r="Z961" s="41">
        <f t="shared" si="922"/>
        <v>0</v>
      </c>
      <c r="AA961" s="41">
        <f t="shared" si="923"/>
        <v>0</v>
      </c>
      <c r="AB961" s="41">
        <f t="shared" si="924"/>
        <v>0</v>
      </c>
      <c r="AC961" s="41">
        <f t="shared" si="925"/>
        <v>0</v>
      </c>
      <c r="AD961" s="31"/>
      <c r="AE961" s="21">
        <f t="shared" si="926"/>
        <v>0</v>
      </c>
      <c r="AF961" s="21">
        <f t="shared" si="927"/>
        <v>0</v>
      </c>
      <c r="AG961" s="21">
        <f t="shared" si="928"/>
        <v>0</v>
      </c>
      <c r="AI961" s="41">
        <v>21</v>
      </c>
      <c r="AJ961" s="41">
        <f>H961*0.476190476190476</f>
        <v>0</v>
      </c>
      <c r="AK961" s="41">
        <f>H961*(1-0.476190476190476)</f>
        <v>0</v>
      </c>
      <c r="AL961" s="42" t="s">
        <v>8</v>
      </c>
      <c r="AQ961" s="41">
        <f t="shared" si="929"/>
        <v>0</v>
      </c>
      <c r="AR961" s="41">
        <f t="shared" si="930"/>
        <v>0</v>
      </c>
      <c r="AS961" s="41">
        <f t="shared" si="931"/>
        <v>0</v>
      </c>
      <c r="AT961" s="44" t="s">
        <v>2473</v>
      </c>
      <c r="AU961" s="44" t="s">
        <v>2485</v>
      </c>
      <c r="AV961" s="31" t="s">
        <v>2486</v>
      </c>
      <c r="AX961" s="41">
        <f t="shared" si="932"/>
        <v>0</v>
      </c>
      <c r="AY961" s="41">
        <f t="shared" si="933"/>
        <v>0</v>
      </c>
      <c r="AZ961" s="41">
        <v>0</v>
      </c>
      <c r="BA961" s="41">
        <f t="shared" si="934"/>
        <v>0</v>
      </c>
      <c r="BC961" s="21">
        <f t="shared" si="935"/>
        <v>0</v>
      </c>
      <c r="BD961" s="21">
        <f t="shared" si="936"/>
        <v>0</v>
      </c>
      <c r="BE961" s="21">
        <f t="shared" si="937"/>
        <v>0</v>
      </c>
      <c r="BF961" s="21" t="s">
        <v>2492</v>
      </c>
      <c r="BG961" s="41" t="s">
        <v>1489</v>
      </c>
    </row>
    <row r="962" spans="1:59" x14ac:dyDescent="0.3">
      <c r="A962" s="4" t="s">
        <v>919</v>
      </c>
      <c r="B962" s="13"/>
      <c r="C962" s="13" t="s">
        <v>1539</v>
      </c>
      <c r="D962" s="101" t="s">
        <v>2298</v>
      </c>
      <c r="E962" s="102"/>
      <c r="F962" s="13" t="s">
        <v>2384</v>
      </c>
      <c r="G962" s="21">
        <v>16</v>
      </c>
      <c r="H962" s="21">
        <v>0</v>
      </c>
      <c r="I962" s="21">
        <f t="shared" si="914"/>
        <v>0</v>
      </c>
      <c r="J962" s="21">
        <f t="shared" si="915"/>
        <v>0</v>
      </c>
      <c r="K962" s="21">
        <f t="shared" si="916"/>
        <v>0</v>
      </c>
      <c r="L962" s="21">
        <v>0</v>
      </c>
      <c r="M962" s="21">
        <f t="shared" si="917"/>
        <v>0</v>
      </c>
      <c r="N962" s="35"/>
      <c r="O962" s="39"/>
      <c r="U962" s="41">
        <f t="shared" si="918"/>
        <v>0</v>
      </c>
      <c r="W962" s="41">
        <f t="shared" si="919"/>
        <v>0</v>
      </c>
      <c r="X962" s="41">
        <f t="shared" si="920"/>
        <v>0</v>
      </c>
      <c r="Y962" s="41">
        <f t="shared" si="921"/>
        <v>0</v>
      </c>
      <c r="Z962" s="41">
        <f t="shared" si="922"/>
        <v>0</v>
      </c>
      <c r="AA962" s="41">
        <f t="shared" si="923"/>
        <v>0</v>
      </c>
      <c r="AB962" s="41">
        <f t="shared" si="924"/>
        <v>0</v>
      </c>
      <c r="AC962" s="41">
        <f t="shared" si="925"/>
        <v>0</v>
      </c>
      <c r="AD962" s="31"/>
      <c r="AE962" s="21">
        <f t="shared" si="926"/>
        <v>0</v>
      </c>
      <c r="AF962" s="21">
        <f t="shared" si="927"/>
        <v>0</v>
      </c>
      <c r="AG962" s="21">
        <f t="shared" si="928"/>
        <v>0</v>
      </c>
      <c r="AI962" s="41">
        <v>21</v>
      </c>
      <c r="AJ962" s="41">
        <f>H962*0.837988826815642</f>
        <v>0</v>
      </c>
      <c r="AK962" s="41">
        <f>H962*(1-0.837988826815642)</f>
        <v>0</v>
      </c>
      <c r="AL962" s="42" t="s">
        <v>8</v>
      </c>
      <c r="AQ962" s="41">
        <f t="shared" si="929"/>
        <v>0</v>
      </c>
      <c r="AR962" s="41">
        <f t="shared" si="930"/>
        <v>0</v>
      </c>
      <c r="AS962" s="41">
        <f t="shared" si="931"/>
        <v>0</v>
      </c>
      <c r="AT962" s="44" t="s">
        <v>2473</v>
      </c>
      <c r="AU962" s="44" t="s">
        <v>2485</v>
      </c>
      <c r="AV962" s="31" t="s">
        <v>2486</v>
      </c>
      <c r="AX962" s="41">
        <f t="shared" si="932"/>
        <v>0</v>
      </c>
      <c r="AY962" s="41">
        <f t="shared" si="933"/>
        <v>0</v>
      </c>
      <c r="AZ962" s="41">
        <v>0</v>
      </c>
      <c r="BA962" s="41">
        <f t="shared" si="934"/>
        <v>0</v>
      </c>
      <c r="BC962" s="21">
        <f t="shared" si="935"/>
        <v>0</v>
      </c>
      <c r="BD962" s="21">
        <f t="shared" si="936"/>
        <v>0</v>
      </c>
      <c r="BE962" s="21">
        <f t="shared" si="937"/>
        <v>0</v>
      </c>
      <c r="BF962" s="21" t="s">
        <v>2492</v>
      </c>
      <c r="BG962" s="41" t="s">
        <v>1489</v>
      </c>
    </row>
    <row r="963" spans="1:59" x14ac:dyDescent="0.3">
      <c r="A963" s="4" t="s">
        <v>920</v>
      </c>
      <c r="B963" s="13"/>
      <c r="C963" s="13" t="s">
        <v>1540</v>
      </c>
      <c r="D963" s="101" t="s">
        <v>2299</v>
      </c>
      <c r="E963" s="102"/>
      <c r="F963" s="13" t="s">
        <v>2384</v>
      </c>
      <c r="G963" s="21">
        <v>5</v>
      </c>
      <c r="H963" s="21">
        <v>0</v>
      </c>
      <c r="I963" s="21">
        <f t="shared" si="914"/>
        <v>0</v>
      </c>
      <c r="J963" s="21">
        <f t="shared" si="915"/>
        <v>0</v>
      </c>
      <c r="K963" s="21">
        <f t="shared" si="916"/>
        <v>0</v>
      </c>
      <c r="L963" s="21">
        <v>0</v>
      </c>
      <c r="M963" s="21">
        <f t="shared" si="917"/>
        <v>0</v>
      </c>
      <c r="N963" s="35"/>
      <c r="O963" s="39"/>
      <c r="U963" s="41">
        <f t="shared" si="918"/>
        <v>0</v>
      </c>
      <c r="W963" s="41">
        <f t="shared" si="919"/>
        <v>0</v>
      </c>
      <c r="X963" s="41">
        <f t="shared" si="920"/>
        <v>0</v>
      </c>
      <c r="Y963" s="41">
        <f t="shared" si="921"/>
        <v>0</v>
      </c>
      <c r="Z963" s="41">
        <f t="shared" si="922"/>
        <v>0</v>
      </c>
      <c r="AA963" s="41">
        <f t="shared" si="923"/>
        <v>0</v>
      </c>
      <c r="AB963" s="41">
        <f t="shared" si="924"/>
        <v>0</v>
      </c>
      <c r="AC963" s="41">
        <f t="shared" si="925"/>
        <v>0</v>
      </c>
      <c r="AD963" s="31"/>
      <c r="AE963" s="21">
        <f t="shared" si="926"/>
        <v>0</v>
      </c>
      <c r="AF963" s="21">
        <f t="shared" si="927"/>
        <v>0</v>
      </c>
      <c r="AG963" s="21">
        <f t="shared" si="928"/>
        <v>0</v>
      </c>
      <c r="AI963" s="41">
        <v>21</v>
      </c>
      <c r="AJ963" s="41">
        <f>H963*0.867052023121387</f>
        <v>0</v>
      </c>
      <c r="AK963" s="41">
        <f>H963*(1-0.867052023121387)</f>
        <v>0</v>
      </c>
      <c r="AL963" s="42" t="s">
        <v>8</v>
      </c>
      <c r="AQ963" s="41">
        <f t="shared" si="929"/>
        <v>0</v>
      </c>
      <c r="AR963" s="41">
        <f t="shared" si="930"/>
        <v>0</v>
      </c>
      <c r="AS963" s="41">
        <f t="shared" si="931"/>
        <v>0</v>
      </c>
      <c r="AT963" s="44" t="s">
        <v>2473</v>
      </c>
      <c r="AU963" s="44" t="s">
        <v>2485</v>
      </c>
      <c r="AV963" s="31" t="s">
        <v>2486</v>
      </c>
      <c r="AX963" s="41">
        <f t="shared" si="932"/>
        <v>0</v>
      </c>
      <c r="AY963" s="41">
        <f t="shared" si="933"/>
        <v>0</v>
      </c>
      <c r="AZ963" s="41">
        <v>0</v>
      </c>
      <c r="BA963" s="41">
        <f t="shared" si="934"/>
        <v>0</v>
      </c>
      <c r="BC963" s="21">
        <f t="shared" si="935"/>
        <v>0</v>
      </c>
      <c r="BD963" s="21">
        <f t="shared" si="936"/>
        <v>0</v>
      </c>
      <c r="BE963" s="21">
        <f t="shared" si="937"/>
        <v>0</v>
      </c>
      <c r="BF963" s="21" t="s">
        <v>2492</v>
      </c>
      <c r="BG963" s="41" t="s">
        <v>1489</v>
      </c>
    </row>
    <row r="964" spans="1:59" x14ac:dyDescent="0.3">
      <c r="A964" s="4" t="s">
        <v>921</v>
      </c>
      <c r="B964" s="13"/>
      <c r="C964" s="13" t="s">
        <v>1541</v>
      </c>
      <c r="D964" s="101" t="s">
        <v>2300</v>
      </c>
      <c r="E964" s="102"/>
      <c r="F964" s="13" t="s">
        <v>2384</v>
      </c>
      <c r="G964" s="21">
        <v>1</v>
      </c>
      <c r="H964" s="21">
        <v>0</v>
      </c>
      <c r="I964" s="21">
        <f t="shared" si="914"/>
        <v>0</v>
      </c>
      <c r="J964" s="21">
        <f t="shared" si="915"/>
        <v>0</v>
      </c>
      <c r="K964" s="21">
        <f t="shared" si="916"/>
        <v>0</v>
      </c>
      <c r="L964" s="21">
        <v>0</v>
      </c>
      <c r="M964" s="21">
        <f t="shared" si="917"/>
        <v>0</v>
      </c>
      <c r="N964" s="35"/>
      <c r="O964" s="39"/>
      <c r="U964" s="41">
        <f t="shared" si="918"/>
        <v>0</v>
      </c>
      <c r="W964" s="41">
        <f t="shared" si="919"/>
        <v>0</v>
      </c>
      <c r="X964" s="41">
        <f t="shared" si="920"/>
        <v>0</v>
      </c>
      <c r="Y964" s="41">
        <f t="shared" si="921"/>
        <v>0</v>
      </c>
      <c r="Z964" s="41">
        <f t="shared" si="922"/>
        <v>0</v>
      </c>
      <c r="AA964" s="41">
        <f t="shared" si="923"/>
        <v>0</v>
      </c>
      <c r="AB964" s="41">
        <f t="shared" si="924"/>
        <v>0</v>
      </c>
      <c r="AC964" s="41">
        <f t="shared" si="925"/>
        <v>0</v>
      </c>
      <c r="AD964" s="31"/>
      <c r="AE964" s="21">
        <f t="shared" si="926"/>
        <v>0</v>
      </c>
      <c r="AF964" s="21">
        <f t="shared" si="927"/>
        <v>0</v>
      </c>
      <c r="AG964" s="21">
        <f t="shared" si="928"/>
        <v>0</v>
      </c>
      <c r="AI964" s="41">
        <v>21</v>
      </c>
      <c r="AJ964" s="41">
        <f>H964*0.909090909090909</f>
        <v>0</v>
      </c>
      <c r="AK964" s="41">
        <f>H964*(1-0.909090909090909)</f>
        <v>0</v>
      </c>
      <c r="AL964" s="42" t="s">
        <v>8</v>
      </c>
      <c r="AQ964" s="41">
        <f t="shared" si="929"/>
        <v>0</v>
      </c>
      <c r="AR964" s="41">
        <f t="shared" si="930"/>
        <v>0</v>
      </c>
      <c r="AS964" s="41">
        <f t="shared" si="931"/>
        <v>0</v>
      </c>
      <c r="AT964" s="44" t="s">
        <v>2473</v>
      </c>
      <c r="AU964" s="44" t="s">
        <v>2485</v>
      </c>
      <c r="AV964" s="31" t="s">
        <v>2486</v>
      </c>
      <c r="AX964" s="41">
        <f t="shared" si="932"/>
        <v>0</v>
      </c>
      <c r="AY964" s="41">
        <f t="shared" si="933"/>
        <v>0</v>
      </c>
      <c r="AZ964" s="41">
        <v>0</v>
      </c>
      <c r="BA964" s="41">
        <f t="shared" si="934"/>
        <v>0</v>
      </c>
      <c r="BC964" s="21">
        <f t="shared" si="935"/>
        <v>0</v>
      </c>
      <c r="BD964" s="21">
        <f t="shared" si="936"/>
        <v>0</v>
      </c>
      <c r="BE964" s="21">
        <f t="shared" si="937"/>
        <v>0</v>
      </c>
      <c r="BF964" s="21" t="s">
        <v>2492</v>
      </c>
      <c r="BG964" s="41" t="s">
        <v>1489</v>
      </c>
    </row>
    <row r="965" spans="1:59" x14ac:dyDescent="0.3">
      <c r="A965" s="4" t="s">
        <v>922</v>
      </c>
      <c r="B965" s="13"/>
      <c r="C965" s="13" t="s">
        <v>1542</v>
      </c>
      <c r="D965" s="101" t="s">
        <v>2301</v>
      </c>
      <c r="E965" s="102"/>
      <c r="F965" s="13" t="s">
        <v>2384</v>
      </c>
      <c r="G965" s="21">
        <v>13</v>
      </c>
      <c r="H965" s="21">
        <v>0</v>
      </c>
      <c r="I965" s="21">
        <f t="shared" si="914"/>
        <v>0</v>
      </c>
      <c r="J965" s="21">
        <f t="shared" si="915"/>
        <v>0</v>
      </c>
      <c r="K965" s="21">
        <f t="shared" si="916"/>
        <v>0</v>
      </c>
      <c r="L965" s="21">
        <v>0</v>
      </c>
      <c r="M965" s="21">
        <f t="shared" si="917"/>
        <v>0</v>
      </c>
      <c r="N965" s="35"/>
      <c r="O965" s="39"/>
      <c r="U965" s="41">
        <f t="shared" si="918"/>
        <v>0</v>
      </c>
      <c r="W965" s="41">
        <f t="shared" si="919"/>
        <v>0</v>
      </c>
      <c r="X965" s="41">
        <f t="shared" si="920"/>
        <v>0</v>
      </c>
      <c r="Y965" s="41">
        <f t="shared" si="921"/>
        <v>0</v>
      </c>
      <c r="Z965" s="41">
        <f t="shared" si="922"/>
        <v>0</v>
      </c>
      <c r="AA965" s="41">
        <f t="shared" si="923"/>
        <v>0</v>
      </c>
      <c r="AB965" s="41">
        <f t="shared" si="924"/>
        <v>0</v>
      </c>
      <c r="AC965" s="41">
        <f t="shared" si="925"/>
        <v>0</v>
      </c>
      <c r="AD965" s="31"/>
      <c r="AE965" s="21">
        <f t="shared" si="926"/>
        <v>0</v>
      </c>
      <c r="AF965" s="21">
        <f t="shared" si="927"/>
        <v>0</v>
      </c>
      <c r="AG965" s="21">
        <f t="shared" si="928"/>
        <v>0</v>
      </c>
      <c r="AI965" s="41">
        <v>21</v>
      </c>
      <c r="AJ965" s="41">
        <f>H965*0.909090909090909</f>
        <v>0</v>
      </c>
      <c r="AK965" s="41">
        <f>H965*(1-0.909090909090909)</f>
        <v>0</v>
      </c>
      <c r="AL965" s="42" t="s">
        <v>8</v>
      </c>
      <c r="AQ965" s="41">
        <f t="shared" si="929"/>
        <v>0</v>
      </c>
      <c r="AR965" s="41">
        <f t="shared" si="930"/>
        <v>0</v>
      </c>
      <c r="AS965" s="41">
        <f t="shared" si="931"/>
        <v>0</v>
      </c>
      <c r="AT965" s="44" t="s">
        <v>2473</v>
      </c>
      <c r="AU965" s="44" t="s">
        <v>2485</v>
      </c>
      <c r="AV965" s="31" t="s">
        <v>2486</v>
      </c>
      <c r="AX965" s="41">
        <f t="shared" si="932"/>
        <v>0</v>
      </c>
      <c r="AY965" s="41">
        <f t="shared" si="933"/>
        <v>0</v>
      </c>
      <c r="AZ965" s="41">
        <v>0</v>
      </c>
      <c r="BA965" s="41">
        <f t="shared" si="934"/>
        <v>0</v>
      </c>
      <c r="BC965" s="21">
        <f t="shared" si="935"/>
        <v>0</v>
      </c>
      <c r="BD965" s="21">
        <f t="shared" si="936"/>
        <v>0</v>
      </c>
      <c r="BE965" s="21">
        <f t="shared" si="937"/>
        <v>0</v>
      </c>
      <c r="BF965" s="21" t="s">
        <v>2492</v>
      </c>
      <c r="BG965" s="41" t="s">
        <v>1489</v>
      </c>
    </row>
    <row r="966" spans="1:59" x14ac:dyDescent="0.3">
      <c r="A966" s="4" t="s">
        <v>923</v>
      </c>
      <c r="B966" s="13"/>
      <c r="C966" s="13" t="s">
        <v>1543</v>
      </c>
      <c r="D966" s="101" t="s">
        <v>2302</v>
      </c>
      <c r="E966" s="102"/>
      <c r="F966" s="13" t="s">
        <v>2384</v>
      </c>
      <c r="G966" s="21">
        <v>2</v>
      </c>
      <c r="H966" s="21">
        <v>0</v>
      </c>
      <c r="I966" s="21">
        <f t="shared" si="914"/>
        <v>0</v>
      </c>
      <c r="J966" s="21">
        <f t="shared" si="915"/>
        <v>0</v>
      </c>
      <c r="K966" s="21">
        <f t="shared" si="916"/>
        <v>0</v>
      </c>
      <c r="L966" s="21">
        <v>0</v>
      </c>
      <c r="M966" s="21">
        <f t="shared" si="917"/>
        <v>0</v>
      </c>
      <c r="N966" s="35"/>
      <c r="O966" s="39"/>
      <c r="U966" s="41">
        <f t="shared" si="918"/>
        <v>0</v>
      </c>
      <c r="W966" s="41">
        <f t="shared" si="919"/>
        <v>0</v>
      </c>
      <c r="X966" s="41">
        <f t="shared" si="920"/>
        <v>0</v>
      </c>
      <c r="Y966" s="41">
        <f t="shared" si="921"/>
        <v>0</v>
      </c>
      <c r="Z966" s="41">
        <f t="shared" si="922"/>
        <v>0</v>
      </c>
      <c r="AA966" s="41">
        <f t="shared" si="923"/>
        <v>0</v>
      </c>
      <c r="AB966" s="41">
        <f t="shared" si="924"/>
        <v>0</v>
      </c>
      <c r="AC966" s="41">
        <f t="shared" si="925"/>
        <v>0</v>
      </c>
      <c r="AD966" s="31"/>
      <c r="AE966" s="21">
        <f t="shared" si="926"/>
        <v>0</v>
      </c>
      <c r="AF966" s="21">
        <f t="shared" si="927"/>
        <v>0</v>
      </c>
      <c r="AG966" s="21">
        <f t="shared" si="928"/>
        <v>0</v>
      </c>
      <c r="AI966" s="41">
        <v>21</v>
      </c>
      <c r="AJ966" s="41">
        <f>H966*0.894117647058824</f>
        <v>0</v>
      </c>
      <c r="AK966" s="41">
        <f>H966*(1-0.894117647058824)</f>
        <v>0</v>
      </c>
      <c r="AL966" s="42" t="s">
        <v>8</v>
      </c>
      <c r="AQ966" s="41">
        <f t="shared" si="929"/>
        <v>0</v>
      </c>
      <c r="AR966" s="41">
        <f t="shared" si="930"/>
        <v>0</v>
      </c>
      <c r="AS966" s="41">
        <f t="shared" si="931"/>
        <v>0</v>
      </c>
      <c r="AT966" s="44" t="s">
        <v>2473</v>
      </c>
      <c r="AU966" s="44" t="s">
        <v>2485</v>
      </c>
      <c r="AV966" s="31" t="s">
        <v>2486</v>
      </c>
      <c r="AX966" s="41">
        <f t="shared" si="932"/>
        <v>0</v>
      </c>
      <c r="AY966" s="41">
        <f t="shared" si="933"/>
        <v>0</v>
      </c>
      <c r="AZ966" s="41">
        <v>0</v>
      </c>
      <c r="BA966" s="41">
        <f t="shared" si="934"/>
        <v>0</v>
      </c>
      <c r="BC966" s="21">
        <f t="shared" si="935"/>
        <v>0</v>
      </c>
      <c r="BD966" s="21">
        <f t="shared" si="936"/>
        <v>0</v>
      </c>
      <c r="BE966" s="21">
        <f t="shared" si="937"/>
        <v>0</v>
      </c>
      <c r="BF966" s="21" t="s">
        <v>2492</v>
      </c>
      <c r="BG966" s="41" t="s">
        <v>1489</v>
      </c>
    </row>
    <row r="967" spans="1:59" x14ac:dyDescent="0.3">
      <c r="A967" s="4" t="s">
        <v>924</v>
      </c>
      <c r="B967" s="13"/>
      <c r="C967" s="13" t="s">
        <v>1544</v>
      </c>
      <c r="D967" s="101" t="s">
        <v>2303</v>
      </c>
      <c r="E967" s="102"/>
      <c r="F967" s="13" t="s">
        <v>2385</v>
      </c>
      <c r="G967" s="21">
        <v>720</v>
      </c>
      <c r="H967" s="21">
        <v>0</v>
      </c>
      <c r="I967" s="21">
        <f t="shared" si="914"/>
        <v>0</v>
      </c>
      <c r="J967" s="21">
        <f t="shared" si="915"/>
        <v>0</v>
      </c>
      <c r="K967" s="21">
        <f t="shared" si="916"/>
        <v>0</v>
      </c>
      <c r="L967" s="21">
        <v>0</v>
      </c>
      <c r="M967" s="21">
        <f t="shared" si="917"/>
        <v>0</v>
      </c>
      <c r="N967" s="35"/>
      <c r="O967" s="39"/>
      <c r="U967" s="41">
        <f t="shared" si="918"/>
        <v>0</v>
      </c>
      <c r="W967" s="41">
        <f t="shared" si="919"/>
        <v>0</v>
      </c>
      <c r="X967" s="41">
        <f t="shared" si="920"/>
        <v>0</v>
      </c>
      <c r="Y967" s="41">
        <f t="shared" si="921"/>
        <v>0</v>
      </c>
      <c r="Z967" s="41">
        <f t="shared" si="922"/>
        <v>0</v>
      </c>
      <c r="AA967" s="41">
        <f t="shared" si="923"/>
        <v>0</v>
      </c>
      <c r="AB967" s="41">
        <f t="shared" si="924"/>
        <v>0</v>
      </c>
      <c r="AC967" s="41">
        <f t="shared" si="925"/>
        <v>0</v>
      </c>
      <c r="AD967" s="31"/>
      <c r="AE967" s="21">
        <f t="shared" si="926"/>
        <v>0</v>
      </c>
      <c r="AF967" s="21">
        <f t="shared" si="927"/>
        <v>0</v>
      </c>
      <c r="AG967" s="21">
        <f t="shared" si="928"/>
        <v>0</v>
      </c>
      <c r="AI967" s="41">
        <v>21</v>
      </c>
      <c r="AJ967" s="41">
        <f>H967*0.278648802736602</f>
        <v>0</v>
      </c>
      <c r="AK967" s="41">
        <f>H967*(1-0.278648802736602)</f>
        <v>0</v>
      </c>
      <c r="AL967" s="42" t="s">
        <v>8</v>
      </c>
      <c r="AQ967" s="41">
        <f t="shared" si="929"/>
        <v>0</v>
      </c>
      <c r="AR967" s="41">
        <f t="shared" si="930"/>
        <v>0</v>
      </c>
      <c r="AS967" s="41">
        <f t="shared" si="931"/>
        <v>0</v>
      </c>
      <c r="AT967" s="44" t="s">
        <v>2473</v>
      </c>
      <c r="AU967" s="44" t="s">
        <v>2485</v>
      </c>
      <c r="AV967" s="31" t="s">
        <v>2486</v>
      </c>
      <c r="AX967" s="41">
        <f t="shared" si="932"/>
        <v>0</v>
      </c>
      <c r="AY967" s="41">
        <f t="shared" si="933"/>
        <v>0</v>
      </c>
      <c r="AZ967" s="41">
        <v>0</v>
      </c>
      <c r="BA967" s="41">
        <f t="shared" si="934"/>
        <v>0</v>
      </c>
      <c r="BC967" s="21">
        <f t="shared" si="935"/>
        <v>0</v>
      </c>
      <c r="BD967" s="21">
        <f t="shared" si="936"/>
        <v>0</v>
      </c>
      <c r="BE967" s="21">
        <f t="shared" si="937"/>
        <v>0</v>
      </c>
      <c r="BF967" s="21" t="s">
        <v>2492</v>
      </c>
      <c r="BG967" s="41" t="s">
        <v>1489</v>
      </c>
    </row>
    <row r="968" spans="1:59" x14ac:dyDescent="0.3">
      <c r="A968" s="4" t="s">
        <v>925</v>
      </c>
      <c r="B968" s="13"/>
      <c r="C968" s="13" t="s">
        <v>1545</v>
      </c>
      <c r="D968" s="101" t="s">
        <v>2304</v>
      </c>
      <c r="E968" s="102"/>
      <c r="F968" s="13" t="s">
        <v>2384</v>
      </c>
      <c r="G968" s="21">
        <v>1</v>
      </c>
      <c r="H968" s="21">
        <v>0</v>
      </c>
      <c r="I968" s="21">
        <f t="shared" si="914"/>
        <v>0</v>
      </c>
      <c r="J968" s="21">
        <f t="shared" si="915"/>
        <v>0</v>
      </c>
      <c r="K968" s="21">
        <f t="shared" si="916"/>
        <v>0</v>
      </c>
      <c r="L968" s="21">
        <v>0</v>
      </c>
      <c r="M968" s="21">
        <f t="shared" si="917"/>
        <v>0</v>
      </c>
      <c r="N968" s="35"/>
      <c r="O968" s="39"/>
      <c r="U968" s="41">
        <f t="shared" si="918"/>
        <v>0</v>
      </c>
      <c r="W968" s="41">
        <f t="shared" si="919"/>
        <v>0</v>
      </c>
      <c r="X968" s="41">
        <f t="shared" si="920"/>
        <v>0</v>
      </c>
      <c r="Y968" s="41">
        <f t="shared" si="921"/>
        <v>0</v>
      </c>
      <c r="Z968" s="41">
        <f t="shared" si="922"/>
        <v>0</v>
      </c>
      <c r="AA968" s="41">
        <f t="shared" si="923"/>
        <v>0</v>
      </c>
      <c r="AB968" s="41">
        <f t="shared" si="924"/>
        <v>0</v>
      </c>
      <c r="AC968" s="41">
        <f t="shared" si="925"/>
        <v>0</v>
      </c>
      <c r="AD968" s="31"/>
      <c r="AE968" s="21">
        <f t="shared" si="926"/>
        <v>0</v>
      </c>
      <c r="AF968" s="21">
        <f t="shared" si="927"/>
        <v>0</v>
      </c>
      <c r="AG968" s="21">
        <f t="shared" si="928"/>
        <v>0</v>
      </c>
      <c r="AI968" s="41">
        <v>21</v>
      </c>
      <c r="AJ968" s="41">
        <f>H968*0.846153846153846</f>
        <v>0</v>
      </c>
      <c r="AK968" s="41">
        <f>H968*(1-0.846153846153846)</f>
        <v>0</v>
      </c>
      <c r="AL968" s="42" t="s">
        <v>8</v>
      </c>
      <c r="AQ968" s="41">
        <f t="shared" si="929"/>
        <v>0</v>
      </c>
      <c r="AR968" s="41">
        <f t="shared" si="930"/>
        <v>0</v>
      </c>
      <c r="AS968" s="41">
        <f t="shared" si="931"/>
        <v>0</v>
      </c>
      <c r="AT968" s="44" t="s">
        <v>2473</v>
      </c>
      <c r="AU968" s="44" t="s">
        <v>2485</v>
      </c>
      <c r="AV968" s="31" t="s">
        <v>2486</v>
      </c>
      <c r="AX968" s="41">
        <f t="shared" si="932"/>
        <v>0</v>
      </c>
      <c r="AY968" s="41">
        <f t="shared" si="933"/>
        <v>0</v>
      </c>
      <c r="AZ968" s="41">
        <v>0</v>
      </c>
      <c r="BA968" s="41">
        <f t="shared" si="934"/>
        <v>0</v>
      </c>
      <c r="BC968" s="21">
        <f t="shared" si="935"/>
        <v>0</v>
      </c>
      <c r="BD968" s="21">
        <f t="shared" si="936"/>
        <v>0</v>
      </c>
      <c r="BE968" s="21">
        <f t="shared" si="937"/>
        <v>0</v>
      </c>
      <c r="BF968" s="21" t="s">
        <v>2492</v>
      </c>
      <c r="BG968" s="41" t="s">
        <v>1489</v>
      </c>
    </row>
    <row r="969" spans="1:59" x14ac:dyDescent="0.3">
      <c r="A969" s="4" t="s">
        <v>926</v>
      </c>
      <c r="B969" s="13"/>
      <c r="C969" s="13" t="s">
        <v>1546</v>
      </c>
      <c r="D969" s="101" t="s">
        <v>2273</v>
      </c>
      <c r="E969" s="102"/>
      <c r="F969" s="13" t="s">
        <v>2384</v>
      </c>
      <c r="G969" s="21">
        <v>24</v>
      </c>
      <c r="H969" s="21">
        <v>0</v>
      </c>
      <c r="I969" s="21">
        <f t="shared" si="914"/>
        <v>0</v>
      </c>
      <c r="J969" s="21">
        <f t="shared" si="915"/>
        <v>0</v>
      </c>
      <c r="K969" s="21">
        <f t="shared" si="916"/>
        <v>0</v>
      </c>
      <c r="L969" s="21">
        <v>0</v>
      </c>
      <c r="M969" s="21">
        <f t="shared" si="917"/>
        <v>0</v>
      </c>
      <c r="N969" s="35"/>
      <c r="O969" s="39"/>
      <c r="U969" s="41">
        <f t="shared" si="918"/>
        <v>0</v>
      </c>
      <c r="W969" s="41">
        <f t="shared" si="919"/>
        <v>0</v>
      </c>
      <c r="X969" s="41">
        <f t="shared" si="920"/>
        <v>0</v>
      </c>
      <c r="Y969" s="41">
        <f t="shared" si="921"/>
        <v>0</v>
      </c>
      <c r="Z969" s="41">
        <f t="shared" si="922"/>
        <v>0</v>
      </c>
      <c r="AA969" s="41">
        <f t="shared" si="923"/>
        <v>0</v>
      </c>
      <c r="AB969" s="41">
        <f t="shared" si="924"/>
        <v>0</v>
      </c>
      <c r="AC969" s="41">
        <f t="shared" si="925"/>
        <v>0</v>
      </c>
      <c r="AD969" s="31"/>
      <c r="AE969" s="21">
        <f t="shared" si="926"/>
        <v>0</v>
      </c>
      <c r="AF969" s="21">
        <f t="shared" si="927"/>
        <v>0</v>
      </c>
      <c r="AG969" s="21">
        <f t="shared" si="928"/>
        <v>0</v>
      </c>
      <c r="AI969" s="41">
        <v>21</v>
      </c>
      <c r="AJ969" s="41">
        <f>H969*0.476190476190476</f>
        <v>0</v>
      </c>
      <c r="AK969" s="41">
        <f>H969*(1-0.476190476190476)</f>
        <v>0</v>
      </c>
      <c r="AL969" s="42" t="s">
        <v>8</v>
      </c>
      <c r="AQ969" s="41">
        <f t="shared" si="929"/>
        <v>0</v>
      </c>
      <c r="AR969" s="41">
        <f t="shared" si="930"/>
        <v>0</v>
      </c>
      <c r="AS969" s="41">
        <f t="shared" si="931"/>
        <v>0</v>
      </c>
      <c r="AT969" s="44" t="s">
        <v>2473</v>
      </c>
      <c r="AU969" s="44" t="s">
        <v>2485</v>
      </c>
      <c r="AV969" s="31" t="s">
        <v>2486</v>
      </c>
      <c r="AX969" s="41">
        <f t="shared" si="932"/>
        <v>0</v>
      </c>
      <c r="AY969" s="41">
        <f t="shared" si="933"/>
        <v>0</v>
      </c>
      <c r="AZ969" s="41">
        <v>0</v>
      </c>
      <c r="BA969" s="41">
        <f t="shared" si="934"/>
        <v>0</v>
      </c>
      <c r="BC969" s="21">
        <f t="shared" si="935"/>
        <v>0</v>
      </c>
      <c r="BD969" s="21">
        <f t="shared" si="936"/>
        <v>0</v>
      </c>
      <c r="BE969" s="21">
        <f t="shared" si="937"/>
        <v>0</v>
      </c>
      <c r="BF969" s="21" t="s">
        <v>2492</v>
      </c>
      <c r="BG969" s="41" t="s">
        <v>1489</v>
      </c>
    </row>
    <row r="970" spans="1:59" x14ac:dyDescent="0.3">
      <c r="A970" s="4" t="s">
        <v>927</v>
      </c>
      <c r="B970" s="13"/>
      <c r="C970" s="13" t="s">
        <v>1547</v>
      </c>
      <c r="D970" s="101" t="s">
        <v>2305</v>
      </c>
      <c r="E970" s="102"/>
      <c r="F970" s="13" t="s">
        <v>2384</v>
      </c>
      <c r="G970" s="21">
        <v>1</v>
      </c>
      <c r="H970" s="21">
        <v>0</v>
      </c>
      <c r="I970" s="21">
        <f t="shared" si="914"/>
        <v>0</v>
      </c>
      <c r="J970" s="21">
        <f t="shared" si="915"/>
        <v>0</v>
      </c>
      <c r="K970" s="21">
        <f t="shared" si="916"/>
        <v>0</v>
      </c>
      <c r="L970" s="21">
        <v>0</v>
      </c>
      <c r="M970" s="21">
        <f t="shared" si="917"/>
        <v>0</v>
      </c>
      <c r="N970" s="35"/>
      <c r="O970" s="39"/>
      <c r="U970" s="41">
        <f t="shared" si="918"/>
        <v>0</v>
      </c>
      <c r="W970" s="41">
        <f t="shared" si="919"/>
        <v>0</v>
      </c>
      <c r="X970" s="41">
        <f t="shared" si="920"/>
        <v>0</v>
      </c>
      <c r="Y970" s="41">
        <f t="shared" si="921"/>
        <v>0</v>
      </c>
      <c r="Z970" s="41">
        <f t="shared" si="922"/>
        <v>0</v>
      </c>
      <c r="AA970" s="41">
        <f t="shared" si="923"/>
        <v>0</v>
      </c>
      <c r="AB970" s="41">
        <f t="shared" si="924"/>
        <v>0</v>
      </c>
      <c r="AC970" s="41">
        <f t="shared" si="925"/>
        <v>0</v>
      </c>
      <c r="AD970" s="31"/>
      <c r="AE970" s="21">
        <f t="shared" si="926"/>
        <v>0</v>
      </c>
      <c r="AF970" s="21">
        <f t="shared" si="927"/>
        <v>0</v>
      </c>
      <c r="AG970" s="21">
        <f t="shared" si="928"/>
        <v>0</v>
      </c>
      <c r="AI970" s="41">
        <v>21</v>
      </c>
      <c r="AJ970" s="41">
        <f>H970*0.761904761904762</f>
        <v>0</v>
      </c>
      <c r="AK970" s="41">
        <f>H970*(1-0.761904761904762)</f>
        <v>0</v>
      </c>
      <c r="AL970" s="42" t="s">
        <v>8</v>
      </c>
      <c r="AQ970" s="41">
        <f t="shared" si="929"/>
        <v>0</v>
      </c>
      <c r="AR970" s="41">
        <f t="shared" si="930"/>
        <v>0</v>
      </c>
      <c r="AS970" s="41">
        <f t="shared" si="931"/>
        <v>0</v>
      </c>
      <c r="AT970" s="44" t="s">
        <v>2473</v>
      </c>
      <c r="AU970" s="44" t="s">
        <v>2485</v>
      </c>
      <c r="AV970" s="31" t="s">
        <v>2486</v>
      </c>
      <c r="AX970" s="41">
        <f t="shared" si="932"/>
        <v>0</v>
      </c>
      <c r="AY970" s="41">
        <f t="shared" si="933"/>
        <v>0</v>
      </c>
      <c r="AZ970" s="41">
        <v>0</v>
      </c>
      <c r="BA970" s="41">
        <f t="shared" si="934"/>
        <v>0</v>
      </c>
      <c r="BC970" s="21">
        <f t="shared" si="935"/>
        <v>0</v>
      </c>
      <c r="BD970" s="21">
        <f t="shared" si="936"/>
        <v>0</v>
      </c>
      <c r="BE970" s="21">
        <f t="shared" si="937"/>
        <v>0</v>
      </c>
      <c r="BF970" s="21" t="s">
        <v>2492</v>
      </c>
      <c r="BG970" s="41" t="s">
        <v>1489</v>
      </c>
    </row>
    <row r="971" spans="1:59" x14ac:dyDescent="0.3">
      <c r="A971" s="4" t="s">
        <v>928</v>
      </c>
      <c r="B971" s="13"/>
      <c r="C971" s="13" t="s">
        <v>1548</v>
      </c>
      <c r="D971" s="101" t="s">
        <v>2306</v>
      </c>
      <c r="E971" s="102"/>
      <c r="F971" s="13" t="s">
        <v>2384</v>
      </c>
      <c r="G971" s="21">
        <v>1</v>
      </c>
      <c r="H971" s="21">
        <v>0</v>
      </c>
      <c r="I971" s="21">
        <f t="shared" si="914"/>
        <v>0</v>
      </c>
      <c r="J971" s="21">
        <f t="shared" si="915"/>
        <v>0</v>
      </c>
      <c r="K971" s="21">
        <f t="shared" si="916"/>
        <v>0</v>
      </c>
      <c r="L971" s="21">
        <v>0</v>
      </c>
      <c r="M971" s="21">
        <f t="shared" si="917"/>
        <v>0</v>
      </c>
      <c r="N971" s="35"/>
      <c r="O971" s="39"/>
      <c r="U971" s="41">
        <f t="shared" si="918"/>
        <v>0</v>
      </c>
      <c r="W971" s="41">
        <f t="shared" si="919"/>
        <v>0</v>
      </c>
      <c r="X971" s="41">
        <f t="shared" si="920"/>
        <v>0</v>
      </c>
      <c r="Y971" s="41">
        <f t="shared" si="921"/>
        <v>0</v>
      </c>
      <c r="Z971" s="41">
        <f t="shared" si="922"/>
        <v>0</v>
      </c>
      <c r="AA971" s="41">
        <f t="shared" si="923"/>
        <v>0</v>
      </c>
      <c r="AB971" s="41">
        <f t="shared" si="924"/>
        <v>0</v>
      </c>
      <c r="AC971" s="41">
        <f t="shared" si="925"/>
        <v>0</v>
      </c>
      <c r="AD971" s="31"/>
      <c r="AE971" s="21">
        <f t="shared" si="926"/>
        <v>0</v>
      </c>
      <c r="AF971" s="21">
        <f t="shared" si="927"/>
        <v>0</v>
      </c>
      <c r="AG971" s="21">
        <f t="shared" si="928"/>
        <v>0</v>
      </c>
      <c r="AI971" s="41">
        <v>21</v>
      </c>
      <c r="AJ971" s="41">
        <f>H971*0.769230769230769</f>
        <v>0</v>
      </c>
      <c r="AK971" s="41">
        <f>H971*(1-0.769230769230769)</f>
        <v>0</v>
      </c>
      <c r="AL971" s="42" t="s">
        <v>8</v>
      </c>
      <c r="AQ971" s="41">
        <f t="shared" si="929"/>
        <v>0</v>
      </c>
      <c r="AR971" s="41">
        <f t="shared" si="930"/>
        <v>0</v>
      </c>
      <c r="AS971" s="41">
        <f t="shared" si="931"/>
        <v>0</v>
      </c>
      <c r="AT971" s="44" t="s">
        <v>2473</v>
      </c>
      <c r="AU971" s="44" t="s">
        <v>2485</v>
      </c>
      <c r="AV971" s="31" t="s">
        <v>2486</v>
      </c>
      <c r="AX971" s="41">
        <f t="shared" si="932"/>
        <v>0</v>
      </c>
      <c r="AY971" s="41">
        <f t="shared" si="933"/>
        <v>0</v>
      </c>
      <c r="AZ971" s="41">
        <v>0</v>
      </c>
      <c r="BA971" s="41">
        <f t="shared" si="934"/>
        <v>0</v>
      </c>
      <c r="BC971" s="21">
        <f t="shared" si="935"/>
        <v>0</v>
      </c>
      <c r="BD971" s="21">
        <f t="shared" si="936"/>
        <v>0</v>
      </c>
      <c r="BE971" s="21">
        <f t="shared" si="937"/>
        <v>0</v>
      </c>
      <c r="BF971" s="21" t="s">
        <v>2492</v>
      </c>
      <c r="BG971" s="41" t="s">
        <v>1489</v>
      </c>
    </row>
    <row r="972" spans="1:59" x14ac:dyDescent="0.3">
      <c r="A972" s="4" t="s">
        <v>929</v>
      </c>
      <c r="B972" s="13"/>
      <c r="C972" s="13" t="s">
        <v>1549</v>
      </c>
      <c r="D972" s="101" t="s">
        <v>2307</v>
      </c>
      <c r="E972" s="102"/>
      <c r="F972" s="13" t="s">
        <v>2384</v>
      </c>
      <c r="G972" s="21">
        <v>1</v>
      </c>
      <c r="H972" s="21">
        <v>0</v>
      </c>
      <c r="I972" s="21">
        <f t="shared" si="914"/>
        <v>0</v>
      </c>
      <c r="J972" s="21">
        <f t="shared" si="915"/>
        <v>0</v>
      </c>
      <c r="K972" s="21">
        <f t="shared" si="916"/>
        <v>0</v>
      </c>
      <c r="L972" s="21">
        <v>0</v>
      </c>
      <c r="M972" s="21">
        <f t="shared" si="917"/>
        <v>0</v>
      </c>
      <c r="N972" s="35"/>
      <c r="O972" s="39"/>
      <c r="U972" s="41">
        <f t="shared" si="918"/>
        <v>0</v>
      </c>
      <c r="W972" s="41">
        <f t="shared" si="919"/>
        <v>0</v>
      </c>
      <c r="X972" s="41">
        <f t="shared" si="920"/>
        <v>0</v>
      </c>
      <c r="Y972" s="41">
        <f t="shared" si="921"/>
        <v>0</v>
      </c>
      <c r="Z972" s="41">
        <f t="shared" si="922"/>
        <v>0</v>
      </c>
      <c r="AA972" s="41">
        <f t="shared" si="923"/>
        <v>0</v>
      </c>
      <c r="AB972" s="41">
        <f t="shared" si="924"/>
        <v>0</v>
      </c>
      <c r="AC972" s="41">
        <f t="shared" si="925"/>
        <v>0</v>
      </c>
      <c r="AD972" s="31"/>
      <c r="AE972" s="21">
        <f t="shared" si="926"/>
        <v>0</v>
      </c>
      <c r="AF972" s="21">
        <f t="shared" si="927"/>
        <v>0</v>
      </c>
      <c r="AG972" s="21">
        <f t="shared" si="928"/>
        <v>0</v>
      </c>
      <c r="AI972" s="41">
        <v>21</v>
      </c>
      <c r="AJ972" s="41">
        <f>H972*0.55</f>
        <v>0</v>
      </c>
      <c r="AK972" s="41">
        <f>H972*(1-0.55)</f>
        <v>0</v>
      </c>
      <c r="AL972" s="42" t="s">
        <v>8</v>
      </c>
      <c r="AQ972" s="41">
        <f t="shared" si="929"/>
        <v>0</v>
      </c>
      <c r="AR972" s="41">
        <f t="shared" si="930"/>
        <v>0</v>
      </c>
      <c r="AS972" s="41">
        <f t="shared" si="931"/>
        <v>0</v>
      </c>
      <c r="AT972" s="44" t="s">
        <v>2473</v>
      </c>
      <c r="AU972" s="44" t="s">
        <v>2485</v>
      </c>
      <c r="AV972" s="31" t="s">
        <v>2486</v>
      </c>
      <c r="AX972" s="41">
        <f t="shared" si="932"/>
        <v>0</v>
      </c>
      <c r="AY972" s="41">
        <f t="shared" si="933"/>
        <v>0</v>
      </c>
      <c r="AZ972" s="41">
        <v>0</v>
      </c>
      <c r="BA972" s="41">
        <f t="shared" si="934"/>
        <v>0</v>
      </c>
      <c r="BC972" s="21">
        <f t="shared" si="935"/>
        <v>0</v>
      </c>
      <c r="BD972" s="21">
        <f t="shared" si="936"/>
        <v>0</v>
      </c>
      <c r="BE972" s="21">
        <f t="shared" si="937"/>
        <v>0</v>
      </c>
      <c r="BF972" s="21" t="s">
        <v>2492</v>
      </c>
      <c r="BG972" s="41" t="s">
        <v>1489</v>
      </c>
    </row>
    <row r="973" spans="1:59" x14ac:dyDescent="0.3">
      <c r="A973" s="4" t="s">
        <v>930</v>
      </c>
      <c r="B973" s="13"/>
      <c r="C973" s="13" t="s">
        <v>1550</v>
      </c>
      <c r="D973" s="101" t="s">
        <v>2308</v>
      </c>
      <c r="E973" s="102"/>
      <c r="F973" s="13" t="s">
        <v>2384</v>
      </c>
      <c r="G973" s="21">
        <v>1</v>
      </c>
      <c r="H973" s="21">
        <v>0</v>
      </c>
      <c r="I973" s="21">
        <f t="shared" si="914"/>
        <v>0</v>
      </c>
      <c r="J973" s="21">
        <f t="shared" si="915"/>
        <v>0</v>
      </c>
      <c r="K973" s="21">
        <f t="shared" si="916"/>
        <v>0</v>
      </c>
      <c r="L973" s="21">
        <v>0</v>
      </c>
      <c r="M973" s="21">
        <f t="shared" si="917"/>
        <v>0</v>
      </c>
      <c r="N973" s="35"/>
      <c r="O973" s="39"/>
      <c r="U973" s="41">
        <f t="shared" si="918"/>
        <v>0</v>
      </c>
      <c r="W973" s="41">
        <f t="shared" si="919"/>
        <v>0</v>
      </c>
      <c r="X973" s="41">
        <f t="shared" si="920"/>
        <v>0</v>
      </c>
      <c r="Y973" s="41">
        <f t="shared" si="921"/>
        <v>0</v>
      </c>
      <c r="Z973" s="41">
        <f t="shared" si="922"/>
        <v>0</v>
      </c>
      <c r="AA973" s="41">
        <f t="shared" si="923"/>
        <v>0</v>
      </c>
      <c r="AB973" s="41">
        <f t="shared" si="924"/>
        <v>0</v>
      </c>
      <c r="AC973" s="41">
        <f t="shared" si="925"/>
        <v>0</v>
      </c>
      <c r="AD973" s="31"/>
      <c r="AE973" s="21">
        <f t="shared" si="926"/>
        <v>0</v>
      </c>
      <c r="AF973" s="21">
        <f t="shared" si="927"/>
        <v>0</v>
      </c>
      <c r="AG973" s="21">
        <f t="shared" si="928"/>
        <v>0</v>
      </c>
      <c r="AI973" s="41">
        <v>21</v>
      </c>
      <c r="AJ973" s="41">
        <f>H973*0.847457627118644</f>
        <v>0</v>
      </c>
      <c r="AK973" s="41">
        <f>H973*(1-0.847457627118644)</f>
        <v>0</v>
      </c>
      <c r="AL973" s="42" t="s">
        <v>8</v>
      </c>
      <c r="AQ973" s="41">
        <f t="shared" si="929"/>
        <v>0</v>
      </c>
      <c r="AR973" s="41">
        <f t="shared" si="930"/>
        <v>0</v>
      </c>
      <c r="AS973" s="41">
        <f t="shared" si="931"/>
        <v>0</v>
      </c>
      <c r="AT973" s="44" t="s">
        <v>2473</v>
      </c>
      <c r="AU973" s="44" t="s">
        <v>2485</v>
      </c>
      <c r="AV973" s="31" t="s">
        <v>2486</v>
      </c>
      <c r="AX973" s="41">
        <f t="shared" si="932"/>
        <v>0</v>
      </c>
      <c r="AY973" s="41">
        <f t="shared" si="933"/>
        <v>0</v>
      </c>
      <c r="AZ973" s="41">
        <v>0</v>
      </c>
      <c r="BA973" s="41">
        <f t="shared" si="934"/>
        <v>0</v>
      </c>
      <c r="BC973" s="21">
        <f t="shared" si="935"/>
        <v>0</v>
      </c>
      <c r="BD973" s="21">
        <f t="shared" si="936"/>
        <v>0</v>
      </c>
      <c r="BE973" s="21">
        <f t="shared" si="937"/>
        <v>0</v>
      </c>
      <c r="BF973" s="21" t="s">
        <v>2492</v>
      </c>
      <c r="BG973" s="41" t="s">
        <v>1489</v>
      </c>
    </row>
    <row r="974" spans="1:59" x14ac:dyDescent="0.3">
      <c r="A974" s="4" t="s">
        <v>931</v>
      </c>
      <c r="B974" s="13"/>
      <c r="C974" s="13" t="s">
        <v>1551</v>
      </c>
      <c r="D974" s="101" t="s">
        <v>2273</v>
      </c>
      <c r="E974" s="102"/>
      <c r="F974" s="13" t="s">
        <v>2384</v>
      </c>
      <c r="G974" s="21">
        <v>22</v>
      </c>
      <c r="H974" s="21">
        <v>0</v>
      </c>
      <c r="I974" s="21">
        <f t="shared" si="914"/>
        <v>0</v>
      </c>
      <c r="J974" s="21">
        <f t="shared" si="915"/>
        <v>0</v>
      </c>
      <c r="K974" s="21">
        <f t="shared" si="916"/>
        <v>0</v>
      </c>
      <c r="L974" s="21">
        <v>0</v>
      </c>
      <c r="M974" s="21">
        <f t="shared" si="917"/>
        <v>0</v>
      </c>
      <c r="N974" s="35"/>
      <c r="O974" s="39"/>
      <c r="U974" s="41">
        <f t="shared" si="918"/>
        <v>0</v>
      </c>
      <c r="W974" s="41">
        <f t="shared" si="919"/>
        <v>0</v>
      </c>
      <c r="X974" s="41">
        <f t="shared" si="920"/>
        <v>0</v>
      </c>
      <c r="Y974" s="41">
        <f t="shared" si="921"/>
        <v>0</v>
      </c>
      <c r="Z974" s="41">
        <f t="shared" si="922"/>
        <v>0</v>
      </c>
      <c r="AA974" s="41">
        <f t="shared" si="923"/>
        <v>0</v>
      </c>
      <c r="AB974" s="41">
        <f t="shared" si="924"/>
        <v>0</v>
      </c>
      <c r="AC974" s="41">
        <f t="shared" si="925"/>
        <v>0</v>
      </c>
      <c r="AD974" s="31"/>
      <c r="AE974" s="21">
        <f t="shared" si="926"/>
        <v>0</v>
      </c>
      <c r="AF974" s="21">
        <f t="shared" si="927"/>
        <v>0</v>
      </c>
      <c r="AG974" s="21">
        <f t="shared" si="928"/>
        <v>0</v>
      </c>
      <c r="AI974" s="41">
        <v>21</v>
      </c>
      <c r="AJ974" s="41">
        <f>H974*0.476190476190476</f>
        <v>0</v>
      </c>
      <c r="AK974" s="41">
        <f>H974*(1-0.476190476190476)</f>
        <v>0</v>
      </c>
      <c r="AL974" s="42" t="s">
        <v>8</v>
      </c>
      <c r="AQ974" s="41">
        <f t="shared" si="929"/>
        <v>0</v>
      </c>
      <c r="AR974" s="41">
        <f t="shared" si="930"/>
        <v>0</v>
      </c>
      <c r="AS974" s="41">
        <f t="shared" si="931"/>
        <v>0</v>
      </c>
      <c r="AT974" s="44" t="s">
        <v>2473</v>
      </c>
      <c r="AU974" s="44" t="s">
        <v>2485</v>
      </c>
      <c r="AV974" s="31" t="s">
        <v>2486</v>
      </c>
      <c r="AX974" s="41">
        <f t="shared" si="932"/>
        <v>0</v>
      </c>
      <c r="AY974" s="41">
        <f t="shared" si="933"/>
        <v>0</v>
      </c>
      <c r="AZ974" s="41">
        <v>0</v>
      </c>
      <c r="BA974" s="41">
        <f t="shared" si="934"/>
        <v>0</v>
      </c>
      <c r="BC974" s="21">
        <f t="shared" si="935"/>
        <v>0</v>
      </c>
      <c r="BD974" s="21">
        <f t="shared" si="936"/>
        <v>0</v>
      </c>
      <c r="BE974" s="21">
        <f t="shared" si="937"/>
        <v>0</v>
      </c>
      <c r="BF974" s="21" t="s">
        <v>2492</v>
      </c>
      <c r="BG974" s="41" t="s">
        <v>1489</v>
      </c>
    </row>
    <row r="975" spans="1:59" x14ac:dyDescent="0.3">
      <c r="A975" s="4" t="s">
        <v>932</v>
      </c>
      <c r="B975" s="13"/>
      <c r="C975" s="13" t="s">
        <v>1552</v>
      </c>
      <c r="D975" s="101" t="s">
        <v>2309</v>
      </c>
      <c r="E975" s="102"/>
      <c r="F975" s="13" t="s">
        <v>2384</v>
      </c>
      <c r="G975" s="21">
        <v>2</v>
      </c>
      <c r="H975" s="21">
        <v>0</v>
      </c>
      <c r="I975" s="21">
        <f t="shared" si="914"/>
        <v>0</v>
      </c>
      <c r="J975" s="21">
        <f t="shared" si="915"/>
        <v>0</v>
      </c>
      <c r="K975" s="21">
        <f t="shared" si="916"/>
        <v>0</v>
      </c>
      <c r="L975" s="21">
        <v>0</v>
      </c>
      <c r="M975" s="21">
        <f t="shared" si="917"/>
        <v>0</v>
      </c>
      <c r="N975" s="35"/>
      <c r="O975" s="39"/>
      <c r="U975" s="41">
        <f t="shared" si="918"/>
        <v>0</v>
      </c>
      <c r="W975" s="41">
        <f t="shared" si="919"/>
        <v>0</v>
      </c>
      <c r="X975" s="41">
        <f t="shared" si="920"/>
        <v>0</v>
      </c>
      <c r="Y975" s="41">
        <f t="shared" si="921"/>
        <v>0</v>
      </c>
      <c r="Z975" s="41">
        <f t="shared" si="922"/>
        <v>0</v>
      </c>
      <c r="AA975" s="41">
        <f t="shared" si="923"/>
        <v>0</v>
      </c>
      <c r="AB975" s="41">
        <f t="shared" si="924"/>
        <v>0</v>
      </c>
      <c r="AC975" s="41">
        <f t="shared" si="925"/>
        <v>0</v>
      </c>
      <c r="AD975" s="31"/>
      <c r="AE975" s="21">
        <f t="shared" si="926"/>
        <v>0</v>
      </c>
      <c r="AF975" s="21">
        <f t="shared" si="927"/>
        <v>0</v>
      </c>
      <c r="AG975" s="21">
        <f t="shared" si="928"/>
        <v>0</v>
      </c>
      <c r="AI975" s="41">
        <v>21</v>
      </c>
      <c r="AJ975" s="41">
        <f>H975*0.725</f>
        <v>0</v>
      </c>
      <c r="AK975" s="41">
        <f>H975*(1-0.725)</f>
        <v>0</v>
      </c>
      <c r="AL975" s="42" t="s">
        <v>8</v>
      </c>
      <c r="AQ975" s="41">
        <f t="shared" si="929"/>
        <v>0</v>
      </c>
      <c r="AR975" s="41">
        <f t="shared" si="930"/>
        <v>0</v>
      </c>
      <c r="AS975" s="41">
        <f t="shared" si="931"/>
        <v>0</v>
      </c>
      <c r="AT975" s="44" t="s">
        <v>2473</v>
      </c>
      <c r="AU975" s="44" t="s">
        <v>2485</v>
      </c>
      <c r="AV975" s="31" t="s">
        <v>2486</v>
      </c>
      <c r="AX975" s="41">
        <f t="shared" si="932"/>
        <v>0</v>
      </c>
      <c r="AY975" s="41">
        <f t="shared" si="933"/>
        <v>0</v>
      </c>
      <c r="AZ975" s="41">
        <v>0</v>
      </c>
      <c r="BA975" s="41">
        <f t="shared" si="934"/>
        <v>0</v>
      </c>
      <c r="BC975" s="21">
        <f t="shared" si="935"/>
        <v>0</v>
      </c>
      <c r="BD975" s="21">
        <f t="shared" si="936"/>
        <v>0</v>
      </c>
      <c r="BE975" s="21">
        <f t="shared" si="937"/>
        <v>0</v>
      </c>
      <c r="BF975" s="21" t="s">
        <v>2492</v>
      </c>
      <c r="BG975" s="41" t="s">
        <v>1489</v>
      </c>
    </row>
    <row r="976" spans="1:59" x14ac:dyDescent="0.3">
      <c r="A976" s="4" t="s">
        <v>933</v>
      </c>
      <c r="B976" s="13"/>
      <c r="C976" s="13" t="s">
        <v>1553</v>
      </c>
      <c r="D976" s="101" t="s">
        <v>2310</v>
      </c>
      <c r="E976" s="102"/>
      <c r="F976" s="13" t="s">
        <v>2384</v>
      </c>
      <c r="G976" s="21">
        <v>22</v>
      </c>
      <c r="H976" s="21">
        <v>0</v>
      </c>
      <c r="I976" s="21">
        <f t="shared" si="914"/>
        <v>0</v>
      </c>
      <c r="J976" s="21">
        <f t="shared" si="915"/>
        <v>0</v>
      </c>
      <c r="K976" s="21">
        <f t="shared" si="916"/>
        <v>0</v>
      </c>
      <c r="L976" s="21">
        <v>0</v>
      </c>
      <c r="M976" s="21">
        <f t="shared" si="917"/>
        <v>0</v>
      </c>
      <c r="N976" s="35"/>
      <c r="O976" s="39"/>
      <c r="U976" s="41">
        <f t="shared" si="918"/>
        <v>0</v>
      </c>
      <c r="W976" s="41">
        <f t="shared" si="919"/>
        <v>0</v>
      </c>
      <c r="X976" s="41">
        <f t="shared" si="920"/>
        <v>0</v>
      </c>
      <c r="Y976" s="41">
        <f t="shared" si="921"/>
        <v>0</v>
      </c>
      <c r="Z976" s="41">
        <f t="shared" si="922"/>
        <v>0</v>
      </c>
      <c r="AA976" s="41">
        <f t="shared" si="923"/>
        <v>0</v>
      </c>
      <c r="AB976" s="41">
        <f t="shared" si="924"/>
        <v>0</v>
      </c>
      <c r="AC976" s="41">
        <f t="shared" si="925"/>
        <v>0</v>
      </c>
      <c r="AD976" s="31"/>
      <c r="AE976" s="21">
        <f t="shared" si="926"/>
        <v>0</v>
      </c>
      <c r="AF976" s="21">
        <f t="shared" si="927"/>
        <v>0</v>
      </c>
      <c r="AG976" s="21">
        <f t="shared" si="928"/>
        <v>0</v>
      </c>
      <c r="AI976" s="41">
        <v>21</v>
      </c>
      <c r="AJ976" s="41">
        <f>H976*0.456521739130435</f>
        <v>0</v>
      </c>
      <c r="AK976" s="41">
        <f>H976*(1-0.456521739130435)</f>
        <v>0</v>
      </c>
      <c r="AL976" s="42" t="s">
        <v>8</v>
      </c>
      <c r="AQ976" s="41">
        <f t="shared" si="929"/>
        <v>0</v>
      </c>
      <c r="AR976" s="41">
        <f t="shared" si="930"/>
        <v>0</v>
      </c>
      <c r="AS976" s="41">
        <f t="shared" si="931"/>
        <v>0</v>
      </c>
      <c r="AT976" s="44" t="s">
        <v>2473</v>
      </c>
      <c r="AU976" s="44" t="s">
        <v>2485</v>
      </c>
      <c r="AV976" s="31" t="s">
        <v>2486</v>
      </c>
      <c r="AX976" s="41">
        <f t="shared" si="932"/>
        <v>0</v>
      </c>
      <c r="AY976" s="41">
        <f t="shared" si="933"/>
        <v>0</v>
      </c>
      <c r="AZ976" s="41">
        <v>0</v>
      </c>
      <c r="BA976" s="41">
        <f t="shared" si="934"/>
        <v>0</v>
      </c>
      <c r="BC976" s="21">
        <f t="shared" si="935"/>
        <v>0</v>
      </c>
      <c r="BD976" s="21">
        <f t="shared" si="936"/>
        <v>0</v>
      </c>
      <c r="BE976" s="21">
        <f t="shared" si="937"/>
        <v>0</v>
      </c>
      <c r="BF976" s="21" t="s">
        <v>2492</v>
      </c>
      <c r="BG976" s="41" t="s">
        <v>1489</v>
      </c>
    </row>
    <row r="977" spans="1:59" x14ac:dyDescent="0.3">
      <c r="A977" s="4" t="s">
        <v>934</v>
      </c>
      <c r="B977" s="13"/>
      <c r="C977" s="13" t="s">
        <v>1554</v>
      </c>
      <c r="D977" s="101" t="s">
        <v>2311</v>
      </c>
      <c r="E977" s="102"/>
      <c r="F977" s="13" t="s">
        <v>2384</v>
      </c>
      <c r="G977" s="21">
        <v>4</v>
      </c>
      <c r="H977" s="21">
        <v>0</v>
      </c>
      <c r="I977" s="21">
        <f t="shared" ref="I977:I1003" si="938">G977*AJ977</f>
        <v>0</v>
      </c>
      <c r="J977" s="21">
        <f t="shared" ref="J977:J1003" si="939">G977*AK977</f>
        <v>0</v>
      </c>
      <c r="K977" s="21">
        <f t="shared" ref="K977:K1003" si="940">G977*H977</f>
        <v>0</v>
      </c>
      <c r="L977" s="21">
        <v>0</v>
      </c>
      <c r="M977" s="21">
        <f t="shared" ref="M977:M1003" si="941">G977*L977</f>
        <v>0</v>
      </c>
      <c r="N977" s="35"/>
      <c r="O977" s="39"/>
      <c r="U977" s="41">
        <f t="shared" ref="U977:U1003" si="942">IF(AL977="5",BE977,0)</f>
        <v>0</v>
      </c>
      <c r="W977" s="41">
        <f t="shared" ref="W977:W1003" si="943">IF(AL977="1",BC977,0)</f>
        <v>0</v>
      </c>
      <c r="X977" s="41">
        <f t="shared" ref="X977:X1003" si="944">IF(AL977="1",BD977,0)</f>
        <v>0</v>
      </c>
      <c r="Y977" s="41">
        <f t="shared" ref="Y977:Y1003" si="945">IF(AL977="7",BC977,0)</f>
        <v>0</v>
      </c>
      <c r="Z977" s="41">
        <f t="shared" ref="Z977:Z1003" si="946">IF(AL977="7",BD977,0)</f>
        <v>0</v>
      </c>
      <c r="AA977" s="41">
        <f t="shared" ref="AA977:AA1003" si="947">IF(AL977="2",BC977,0)</f>
        <v>0</v>
      </c>
      <c r="AB977" s="41">
        <f t="shared" ref="AB977:AB1003" si="948">IF(AL977="2",BD977,0)</f>
        <v>0</v>
      </c>
      <c r="AC977" s="41">
        <f t="shared" ref="AC977:AC1003" si="949">IF(AL977="0",BE977,0)</f>
        <v>0</v>
      </c>
      <c r="AD977" s="31"/>
      <c r="AE977" s="21">
        <f t="shared" ref="AE977:AE1003" si="950">IF(AI977=0,K977,0)</f>
        <v>0</v>
      </c>
      <c r="AF977" s="21">
        <f t="shared" ref="AF977:AF1003" si="951">IF(AI977=15,K977,0)</f>
        <v>0</v>
      </c>
      <c r="AG977" s="21">
        <f t="shared" ref="AG977:AG1003" si="952">IF(AI977=21,K977,0)</f>
        <v>0</v>
      </c>
      <c r="AI977" s="41">
        <v>21</v>
      </c>
      <c r="AJ977" s="41">
        <f>H977*0.6</f>
        <v>0</v>
      </c>
      <c r="AK977" s="41">
        <f>H977*(1-0.6)</f>
        <v>0</v>
      </c>
      <c r="AL977" s="42" t="s">
        <v>8</v>
      </c>
      <c r="AQ977" s="41">
        <f t="shared" ref="AQ977:AQ1003" si="953">AR977+AS977</f>
        <v>0</v>
      </c>
      <c r="AR977" s="41">
        <f t="shared" ref="AR977:AR1003" si="954">G977*AJ977</f>
        <v>0</v>
      </c>
      <c r="AS977" s="41">
        <f t="shared" ref="AS977:AS1003" si="955">G977*AK977</f>
        <v>0</v>
      </c>
      <c r="AT977" s="44" t="s">
        <v>2473</v>
      </c>
      <c r="AU977" s="44" t="s">
        <v>2485</v>
      </c>
      <c r="AV977" s="31" t="s">
        <v>2486</v>
      </c>
      <c r="AX977" s="41">
        <f t="shared" ref="AX977:AX1003" si="956">AR977+AS977</f>
        <v>0</v>
      </c>
      <c r="AY977" s="41">
        <f t="shared" ref="AY977:AY1003" si="957">H977/(100-AZ977)*100</f>
        <v>0</v>
      </c>
      <c r="AZ977" s="41">
        <v>0</v>
      </c>
      <c r="BA977" s="41">
        <f t="shared" ref="BA977:BA1003" si="958">M977</f>
        <v>0</v>
      </c>
      <c r="BC977" s="21">
        <f t="shared" ref="BC977:BC1003" si="959">G977*AJ977</f>
        <v>0</v>
      </c>
      <c r="BD977" s="21">
        <f t="shared" ref="BD977:BD1003" si="960">G977*AK977</f>
        <v>0</v>
      </c>
      <c r="BE977" s="21">
        <f t="shared" ref="BE977:BE1003" si="961">G977*H977</f>
        <v>0</v>
      </c>
      <c r="BF977" s="21" t="s">
        <v>2492</v>
      </c>
      <c r="BG977" s="41" t="s">
        <v>1489</v>
      </c>
    </row>
    <row r="978" spans="1:59" x14ac:dyDescent="0.3">
      <c r="A978" s="4" t="s">
        <v>935</v>
      </c>
      <c r="B978" s="13"/>
      <c r="C978" s="13" t="s">
        <v>1555</v>
      </c>
      <c r="D978" s="101" t="s">
        <v>2312</v>
      </c>
      <c r="E978" s="102"/>
      <c r="F978" s="13" t="s">
        <v>2384</v>
      </c>
      <c r="G978" s="21">
        <v>1</v>
      </c>
      <c r="H978" s="21">
        <v>0</v>
      </c>
      <c r="I978" s="21">
        <f t="shared" si="938"/>
        <v>0</v>
      </c>
      <c r="J978" s="21">
        <f t="shared" si="939"/>
        <v>0</v>
      </c>
      <c r="K978" s="21">
        <f t="shared" si="940"/>
        <v>0</v>
      </c>
      <c r="L978" s="21">
        <v>0</v>
      </c>
      <c r="M978" s="21">
        <f t="shared" si="941"/>
        <v>0</v>
      </c>
      <c r="N978" s="35"/>
      <c r="O978" s="39"/>
      <c r="U978" s="41">
        <f t="shared" si="942"/>
        <v>0</v>
      </c>
      <c r="W978" s="41">
        <f t="shared" si="943"/>
        <v>0</v>
      </c>
      <c r="X978" s="41">
        <f t="shared" si="944"/>
        <v>0</v>
      </c>
      <c r="Y978" s="41">
        <f t="shared" si="945"/>
        <v>0</v>
      </c>
      <c r="Z978" s="41">
        <f t="shared" si="946"/>
        <v>0</v>
      </c>
      <c r="AA978" s="41">
        <f t="shared" si="947"/>
        <v>0</v>
      </c>
      <c r="AB978" s="41">
        <f t="shared" si="948"/>
        <v>0</v>
      </c>
      <c r="AC978" s="41">
        <f t="shared" si="949"/>
        <v>0</v>
      </c>
      <c r="AD978" s="31"/>
      <c r="AE978" s="21">
        <f t="shared" si="950"/>
        <v>0</v>
      </c>
      <c r="AF978" s="21">
        <f t="shared" si="951"/>
        <v>0</v>
      </c>
      <c r="AG978" s="21">
        <f t="shared" si="952"/>
        <v>0</v>
      </c>
      <c r="AI978" s="41">
        <v>21</v>
      </c>
      <c r="AJ978" s="41">
        <f>H978*0.681818181818182</f>
        <v>0</v>
      </c>
      <c r="AK978" s="41">
        <f>H978*(1-0.681818181818182)</f>
        <v>0</v>
      </c>
      <c r="AL978" s="42" t="s">
        <v>8</v>
      </c>
      <c r="AQ978" s="41">
        <f t="shared" si="953"/>
        <v>0</v>
      </c>
      <c r="AR978" s="41">
        <f t="shared" si="954"/>
        <v>0</v>
      </c>
      <c r="AS978" s="41">
        <f t="shared" si="955"/>
        <v>0</v>
      </c>
      <c r="AT978" s="44" t="s">
        <v>2473</v>
      </c>
      <c r="AU978" s="44" t="s">
        <v>2485</v>
      </c>
      <c r="AV978" s="31" t="s">
        <v>2486</v>
      </c>
      <c r="AX978" s="41">
        <f t="shared" si="956"/>
        <v>0</v>
      </c>
      <c r="AY978" s="41">
        <f t="shared" si="957"/>
        <v>0</v>
      </c>
      <c r="AZ978" s="41">
        <v>0</v>
      </c>
      <c r="BA978" s="41">
        <f t="shared" si="958"/>
        <v>0</v>
      </c>
      <c r="BC978" s="21">
        <f t="shared" si="959"/>
        <v>0</v>
      </c>
      <c r="BD978" s="21">
        <f t="shared" si="960"/>
        <v>0</v>
      </c>
      <c r="BE978" s="21">
        <f t="shared" si="961"/>
        <v>0</v>
      </c>
      <c r="BF978" s="21" t="s">
        <v>2492</v>
      </c>
      <c r="BG978" s="41" t="s">
        <v>1489</v>
      </c>
    </row>
    <row r="979" spans="1:59" x14ac:dyDescent="0.3">
      <c r="A979" s="4" t="s">
        <v>936</v>
      </c>
      <c r="B979" s="13"/>
      <c r="C979" s="13" t="s">
        <v>1556</v>
      </c>
      <c r="D979" s="101" t="s">
        <v>2313</v>
      </c>
      <c r="E979" s="102"/>
      <c r="F979" s="13" t="s">
        <v>2385</v>
      </c>
      <c r="G979" s="21">
        <v>150</v>
      </c>
      <c r="H979" s="21">
        <v>0</v>
      </c>
      <c r="I979" s="21">
        <f t="shared" si="938"/>
        <v>0</v>
      </c>
      <c r="J979" s="21">
        <f t="shared" si="939"/>
        <v>0</v>
      </c>
      <c r="K979" s="21">
        <f t="shared" si="940"/>
        <v>0</v>
      </c>
      <c r="L979" s="21">
        <v>0</v>
      </c>
      <c r="M979" s="21">
        <f t="shared" si="941"/>
        <v>0</v>
      </c>
      <c r="N979" s="35"/>
      <c r="O979" s="39"/>
      <c r="U979" s="41">
        <f t="shared" si="942"/>
        <v>0</v>
      </c>
      <c r="W979" s="41">
        <f t="shared" si="943"/>
        <v>0</v>
      </c>
      <c r="X979" s="41">
        <f t="shared" si="944"/>
        <v>0</v>
      </c>
      <c r="Y979" s="41">
        <f t="shared" si="945"/>
        <v>0</v>
      </c>
      <c r="Z979" s="41">
        <f t="shared" si="946"/>
        <v>0</v>
      </c>
      <c r="AA979" s="41">
        <f t="shared" si="947"/>
        <v>0</v>
      </c>
      <c r="AB979" s="41">
        <f t="shared" si="948"/>
        <v>0</v>
      </c>
      <c r="AC979" s="41">
        <f t="shared" si="949"/>
        <v>0</v>
      </c>
      <c r="AD979" s="31"/>
      <c r="AE979" s="21">
        <f t="shared" si="950"/>
        <v>0</v>
      </c>
      <c r="AF979" s="21">
        <f t="shared" si="951"/>
        <v>0</v>
      </c>
      <c r="AG979" s="21">
        <f t="shared" si="952"/>
        <v>0</v>
      </c>
      <c r="AI979" s="41">
        <v>21</v>
      </c>
      <c r="AJ979" s="41">
        <f>H979*0.375</f>
        <v>0</v>
      </c>
      <c r="AK979" s="41">
        <f>H979*(1-0.375)</f>
        <v>0</v>
      </c>
      <c r="AL979" s="42" t="s">
        <v>8</v>
      </c>
      <c r="AQ979" s="41">
        <f t="shared" si="953"/>
        <v>0</v>
      </c>
      <c r="AR979" s="41">
        <f t="shared" si="954"/>
        <v>0</v>
      </c>
      <c r="AS979" s="41">
        <f t="shared" si="955"/>
        <v>0</v>
      </c>
      <c r="AT979" s="44" t="s">
        <v>2473</v>
      </c>
      <c r="AU979" s="44" t="s">
        <v>2485</v>
      </c>
      <c r="AV979" s="31" t="s">
        <v>2486</v>
      </c>
      <c r="AX979" s="41">
        <f t="shared" si="956"/>
        <v>0</v>
      </c>
      <c r="AY979" s="41">
        <f t="shared" si="957"/>
        <v>0</v>
      </c>
      <c r="AZ979" s="41">
        <v>0</v>
      </c>
      <c r="BA979" s="41">
        <f t="shared" si="958"/>
        <v>0</v>
      </c>
      <c r="BC979" s="21">
        <f t="shared" si="959"/>
        <v>0</v>
      </c>
      <c r="BD979" s="21">
        <f t="shared" si="960"/>
        <v>0</v>
      </c>
      <c r="BE979" s="21">
        <f t="shared" si="961"/>
        <v>0</v>
      </c>
      <c r="BF979" s="21" t="s">
        <v>2492</v>
      </c>
      <c r="BG979" s="41" t="s">
        <v>1489</v>
      </c>
    </row>
    <row r="980" spans="1:59" x14ac:dyDescent="0.3">
      <c r="A980" s="4" t="s">
        <v>937</v>
      </c>
      <c r="B980" s="13"/>
      <c r="C980" s="13" t="s">
        <v>1557</v>
      </c>
      <c r="D980" s="101" t="s">
        <v>2314</v>
      </c>
      <c r="E980" s="102"/>
      <c r="F980" s="13" t="s">
        <v>2384</v>
      </c>
      <c r="G980" s="21">
        <v>24</v>
      </c>
      <c r="H980" s="21">
        <v>0</v>
      </c>
      <c r="I980" s="21">
        <f t="shared" si="938"/>
        <v>0</v>
      </c>
      <c r="J980" s="21">
        <f t="shared" si="939"/>
        <v>0</v>
      </c>
      <c r="K980" s="21">
        <f t="shared" si="940"/>
        <v>0</v>
      </c>
      <c r="L980" s="21">
        <v>0</v>
      </c>
      <c r="M980" s="21">
        <f t="shared" si="941"/>
        <v>0</v>
      </c>
      <c r="N980" s="35"/>
      <c r="O980" s="39"/>
      <c r="U980" s="41">
        <f t="shared" si="942"/>
        <v>0</v>
      </c>
      <c r="W980" s="41">
        <f t="shared" si="943"/>
        <v>0</v>
      </c>
      <c r="X980" s="41">
        <f t="shared" si="944"/>
        <v>0</v>
      </c>
      <c r="Y980" s="41">
        <f t="shared" si="945"/>
        <v>0</v>
      </c>
      <c r="Z980" s="41">
        <f t="shared" si="946"/>
        <v>0</v>
      </c>
      <c r="AA980" s="41">
        <f t="shared" si="947"/>
        <v>0</v>
      </c>
      <c r="AB980" s="41">
        <f t="shared" si="948"/>
        <v>0</v>
      </c>
      <c r="AC980" s="41">
        <f t="shared" si="949"/>
        <v>0</v>
      </c>
      <c r="AD980" s="31"/>
      <c r="AE980" s="21">
        <f t="shared" si="950"/>
        <v>0</v>
      </c>
      <c r="AF980" s="21">
        <f t="shared" si="951"/>
        <v>0</v>
      </c>
      <c r="AG980" s="21">
        <f t="shared" si="952"/>
        <v>0</v>
      </c>
      <c r="AI980" s="41">
        <v>21</v>
      </c>
      <c r="AJ980" s="41">
        <f>H980*0.916666666666667</f>
        <v>0</v>
      </c>
      <c r="AK980" s="41">
        <f>H980*(1-0.916666666666667)</f>
        <v>0</v>
      </c>
      <c r="AL980" s="42" t="s">
        <v>8</v>
      </c>
      <c r="AQ980" s="41">
        <f t="shared" si="953"/>
        <v>0</v>
      </c>
      <c r="AR980" s="41">
        <f t="shared" si="954"/>
        <v>0</v>
      </c>
      <c r="AS980" s="41">
        <f t="shared" si="955"/>
        <v>0</v>
      </c>
      <c r="AT980" s="44" t="s">
        <v>2473</v>
      </c>
      <c r="AU980" s="44" t="s">
        <v>2485</v>
      </c>
      <c r="AV980" s="31" t="s">
        <v>2486</v>
      </c>
      <c r="AX980" s="41">
        <f t="shared" si="956"/>
        <v>0</v>
      </c>
      <c r="AY980" s="41">
        <f t="shared" si="957"/>
        <v>0</v>
      </c>
      <c r="AZ980" s="41">
        <v>0</v>
      </c>
      <c r="BA980" s="41">
        <f t="shared" si="958"/>
        <v>0</v>
      </c>
      <c r="BC980" s="21">
        <f t="shared" si="959"/>
        <v>0</v>
      </c>
      <c r="BD980" s="21">
        <f t="shared" si="960"/>
        <v>0</v>
      </c>
      <c r="BE980" s="21">
        <f t="shared" si="961"/>
        <v>0</v>
      </c>
      <c r="BF980" s="21" t="s">
        <v>2492</v>
      </c>
      <c r="BG980" s="41" t="s">
        <v>1489</v>
      </c>
    </row>
    <row r="981" spans="1:59" x14ac:dyDescent="0.3">
      <c r="A981" s="4" t="s">
        <v>938</v>
      </c>
      <c r="B981" s="13"/>
      <c r="C981" s="13" t="s">
        <v>1558</v>
      </c>
      <c r="D981" s="101" t="s">
        <v>2315</v>
      </c>
      <c r="E981" s="102"/>
      <c r="F981" s="13" t="s">
        <v>2384</v>
      </c>
      <c r="G981" s="21">
        <v>4</v>
      </c>
      <c r="H981" s="21">
        <v>0</v>
      </c>
      <c r="I981" s="21">
        <f t="shared" si="938"/>
        <v>0</v>
      </c>
      <c r="J981" s="21">
        <f t="shared" si="939"/>
        <v>0</v>
      </c>
      <c r="K981" s="21">
        <f t="shared" si="940"/>
        <v>0</v>
      </c>
      <c r="L981" s="21">
        <v>0</v>
      </c>
      <c r="M981" s="21">
        <f t="shared" si="941"/>
        <v>0</v>
      </c>
      <c r="N981" s="35"/>
      <c r="O981" s="39"/>
      <c r="U981" s="41">
        <f t="shared" si="942"/>
        <v>0</v>
      </c>
      <c r="W981" s="41">
        <f t="shared" si="943"/>
        <v>0</v>
      </c>
      <c r="X981" s="41">
        <f t="shared" si="944"/>
        <v>0</v>
      </c>
      <c r="Y981" s="41">
        <f t="shared" si="945"/>
        <v>0</v>
      </c>
      <c r="Z981" s="41">
        <f t="shared" si="946"/>
        <v>0</v>
      </c>
      <c r="AA981" s="41">
        <f t="shared" si="947"/>
        <v>0</v>
      </c>
      <c r="AB981" s="41">
        <f t="shared" si="948"/>
        <v>0</v>
      </c>
      <c r="AC981" s="41">
        <f t="shared" si="949"/>
        <v>0</v>
      </c>
      <c r="AD981" s="31"/>
      <c r="AE981" s="21">
        <f t="shared" si="950"/>
        <v>0</v>
      </c>
      <c r="AF981" s="21">
        <f t="shared" si="951"/>
        <v>0</v>
      </c>
      <c r="AG981" s="21">
        <f t="shared" si="952"/>
        <v>0</v>
      </c>
      <c r="AI981" s="41">
        <v>21</v>
      </c>
      <c r="AJ981" s="41">
        <f>H981*0.920634920634921</f>
        <v>0</v>
      </c>
      <c r="AK981" s="41">
        <f>H981*(1-0.920634920634921)</f>
        <v>0</v>
      </c>
      <c r="AL981" s="42" t="s">
        <v>8</v>
      </c>
      <c r="AQ981" s="41">
        <f t="shared" si="953"/>
        <v>0</v>
      </c>
      <c r="AR981" s="41">
        <f t="shared" si="954"/>
        <v>0</v>
      </c>
      <c r="AS981" s="41">
        <f t="shared" si="955"/>
        <v>0</v>
      </c>
      <c r="AT981" s="44" t="s">
        <v>2473</v>
      </c>
      <c r="AU981" s="44" t="s">
        <v>2485</v>
      </c>
      <c r="AV981" s="31" t="s">
        <v>2486</v>
      </c>
      <c r="AX981" s="41">
        <f t="shared" si="956"/>
        <v>0</v>
      </c>
      <c r="AY981" s="41">
        <f t="shared" si="957"/>
        <v>0</v>
      </c>
      <c r="AZ981" s="41">
        <v>0</v>
      </c>
      <c r="BA981" s="41">
        <f t="shared" si="958"/>
        <v>0</v>
      </c>
      <c r="BC981" s="21">
        <f t="shared" si="959"/>
        <v>0</v>
      </c>
      <c r="BD981" s="21">
        <f t="shared" si="960"/>
        <v>0</v>
      </c>
      <c r="BE981" s="21">
        <f t="shared" si="961"/>
        <v>0</v>
      </c>
      <c r="BF981" s="21" t="s">
        <v>2492</v>
      </c>
      <c r="BG981" s="41" t="s">
        <v>1489</v>
      </c>
    </row>
    <row r="982" spans="1:59" x14ac:dyDescent="0.3">
      <c r="A982" s="4" t="s">
        <v>939</v>
      </c>
      <c r="B982" s="13"/>
      <c r="C982" s="13" t="s">
        <v>1559</v>
      </c>
      <c r="D982" s="101" t="s">
        <v>2316</v>
      </c>
      <c r="E982" s="102"/>
      <c r="F982" s="13" t="s">
        <v>2384</v>
      </c>
      <c r="G982" s="21">
        <v>1</v>
      </c>
      <c r="H982" s="21">
        <v>0</v>
      </c>
      <c r="I982" s="21">
        <f t="shared" si="938"/>
        <v>0</v>
      </c>
      <c r="J982" s="21">
        <f t="shared" si="939"/>
        <v>0</v>
      </c>
      <c r="K982" s="21">
        <f t="shared" si="940"/>
        <v>0</v>
      </c>
      <c r="L982" s="21">
        <v>0</v>
      </c>
      <c r="M982" s="21">
        <f t="shared" si="941"/>
        <v>0</v>
      </c>
      <c r="N982" s="35"/>
      <c r="O982" s="39"/>
      <c r="U982" s="41">
        <f t="shared" si="942"/>
        <v>0</v>
      </c>
      <c r="W982" s="41">
        <f t="shared" si="943"/>
        <v>0</v>
      </c>
      <c r="X982" s="41">
        <f t="shared" si="944"/>
        <v>0</v>
      </c>
      <c r="Y982" s="41">
        <f t="shared" si="945"/>
        <v>0</v>
      </c>
      <c r="Z982" s="41">
        <f t="shared" si="946"/>
        <v>0</v>
      </c>
      <c r="AA982" s="41">
        <f t="shared" si="947"/>
        <v>0</v>
      </c>
      <c r="AB982" s="41">
        <f t="shared" si="948"/>
        <v>0</v>
      </c>
      <c r="AC982" s="41">
        <f t="shared" si="949"/>
        <v>0</v>
      </c>
      <c r="AD982" s="31"/>
      <c r="AE982" s="21">
        <f t="shared" si="950"/>
        <v>0</v>
      </c>
      <c r="AF982" s="21">
        <f t="shared" si="951"/>
        <v>0</v>
      </c>
      <c r="AG982" s="21">
        <f t="shared" si="952"/>
        <v>0</v>
      </c>
      <c r="AI982" s="41">
        <v>21</v>
      </c>
      <c r="AJ982" s="41">
        <f>H982*0.731182795698925</f>
        <v>0</v>
      </c>
      <c r="AK982" s="41">
        <f>H982*(1-0.731182795698925)</f>
        <v>0</v>
      </c>
      <c r="AL982" s="42" t="s">
        <v>8</v>
      </c>
      <c r="AQ982" s="41">
        <f t="shared" si="953"/>
        <v>0</v>
      </c>
      <c r="AR982" s="41">
        <f t="shared" si="954"/>
        <v>0</v>
      </c>
      <c r="AS982" s="41">
        <f t="shared" si="955"/>
        <v>0</v>
      </c>
      <c r="AT982" s="44" t="s">
        <v>2473</v>
      </c>
      <c r="AU982" s="44" t="s">
        <v>2485</v>
      </c>
      <c r="AV982" s="31" t="s">
        <v>2486</v>
      </c>
      <c r="AX982" s="41">
        <f t="shared" si="956"/>
        <v>0</v>
      </c>
      <c r="AY982" s="41">
        <f t="shared" si="957"/>
        <v>0</v>
      </c>
      <c r="AZ982" s="41">
        <v>0</v>
      </c>
      <c r="BA982" s="41">
        <f t="shared" si="958"/>
        <v>0</v>
      </c>
      <c r="BC982" s="21">
        <f t="shared" si="959"/>
        <v>0</v>
      </c>
      <c r="BD982" s="21">
        <f t="shared" si="960"/>
        <v>0</v>
      </c>
      <c r="BE982" s="21">
        <f t="shared" si="961"/>
        <v>0</v>
      </c>
      <c r="BF982" s="21" t="s">
        <v>2492</v>
      </c>
      <c r="BG982" s="41" t="s">
        <v>1489</v>
      </c>
    </row>
    <row r="983" spans="1:59" x14ac:dyDescent="0.3">
      <c r="A983" s="4" t="s">
        <v>940</v>
      </c>
      <c r="B983" s="13"/>
      <c r="C983" s="13" t="s">
        <v>1560</v>
      </c>
      <c r="D983" s="101" t="s">
        <v>2317</v>
      </c>
      <c r="E983" s="102"/>
      <c r="F983" s="13" t="s">
        <v>2384</v>
      </c>
      <c r="G983" s="21">
        <v>21</v>
      </c>
      <c r="H983" s="21">
        <v>0</v>
      </c>
      <c r="I983" s="21">
        <f t="shared" si="938"/>
        <v>0</v>
      </c>
      <c r="J983" s="21">
        <f t="shared" si="939"/>
        <v>0</v>
      </c>
      <c r="K983" s="21">
        <f t="shared" si="940"/>
        <v>0</v>
      </c>
      <c r="L983" s="21">
        <v>0</v>
      </c>
      <c r="M983" s="21">
        <f t="shared" si="941"/>
        <v>0</v>
      </c>
      <c r="N983" s="35"/>
      <c r="O983" s="39"/>
      <c r="U983" s="41">
        <f t="shared" si="942"/>
        <v>0</v>
      </c>
      <c r="W983" s="41">
        <f t="shared" si="943"/>
        <v>0</v>
      </c>
      <c r="X983" s="41">
        <f t="shared" si="944"/>
        <v>0</v>
      </c>
      <c r="Y983" s="41">
        <f t="shared" si="945"/>
        <v>0</v>
      </c>
      <c r="Z983" s="41">
        <f t="shared" si="946"/>
        <v>0</v>
      </c>
      <c r="AA983" s="41">
        <f t="shared" si="947"/>
        <v>0</v>
      </c>
      <c r="AB983" s="41">
        <f t="shared" si="948"/>
        <v>0</v>
      </c>
      <c r="AC983" s="41">
        <f t="shared" si="949"/>
        <v>0</v>
      </c>
      <c r="AD983" s="31"/>
      <c r="AE983" s="21">
        <f t="shared" si="950"/>
        <v>0</v>
      </c>
      <c r="AF983" s="21">
        <f t="shared" si="951"/>
        <v>0</v>
      </c>
      <c r="AG983" s="21">
        <f t="shared" si="952"/>
        <v>0</v>
      </c>
      <c r="AI983" s="41">
        <v>21</v>
      </c>
      <c r="AJ983" s="41">
        <f>H983*0.3125</f>
        <v>0</v>
      </c>
      <c r="AK983" s="41">
        <f>H983*(1-0.3125)</f>
        <v>0</v>
      </c>
      <c r="AL983" s="42" t="s">
        <v>8</v>
      </c>
      <c r="AQ983" s="41">
        <f t="shared" si="953"/>
        <v>0</v>
      </c>
      <c r="AR983" s="41">
        <f t="shared" si="954"/>
        <v>0</v>
      </c>
      <c r="AS983" s="41">
        <f t="shared" si="955"/>
        <v>0</v>
      </c>
      <c r="AT983" s="44" t="s">
        <v>2473</v>
      </c>
      <c r="AU983" s="44" t="s">
        <v>2485</v>
      </c>
      <c r="AV983" s="31" t="s">
        <v>2486</v>
      </c>
      <c r="AX983" s="41">
        <f t="shared" si="956"/>
        <v>0</v>
      </c>
      <c r="AY983" s="41">
        <f t="shared" si="957"/>
        <v>0</v>
      </c>
      <c r="AZ983" s="41">
        <v>0</v>
      </c>
      <c r="BA983" s="41">
        <f t="shared" si="958"/>
        <v>0</v>
      </c>
      <c r="BC983" s="21">
        <f t="shared" si="959"/>
        <v>0</v>
      </c>
      <c r="BD983" s="21">
        <f t="shared" si="960"/>
        <v>0</v>
      </c>
      <c r="BE983" s="21">
        <f t="shared" si="961"/>
        <v>0</v>
      </c>
      <c r="BF983" s="21" t="s">
        <v>2492</v>
      </c>
      <c r="BG983" s="41" t="s">
        <v>1489</v>
      </c>
    </row>
    <row r="984" spans="1:59" x14ac:dyDescent="0.3">
      <c r="A984" s="4" t="s">
        <v>941</v>
      </c>
      <c r="B984" s="13"/>
      <c r="C984" s="13" t="s">
        <v>1561</v>
      </c>
      <c r="D984" s="101" t="s">
        <v>2318</v>
      </c>
      <c r="E984" s="102"/>
      <c r="F984" s="13" t="s">
        <v>2384</v>
      </c>
      <c r="G984" s="21">
        <v>2</v>
      </c>
      <c r="H984" s="21">
        <v>0</v>
      </c>
      <c r="I984" s="21">
        <f t="shared" si="938"/>
        <v>0</v>
      </c>
      <c r="J984" s="21">
        <f t="shared" si="939"/>
        <v>0</v>
      </c>
      <c r="K984" s="21">
        <f t="shared" si="940"/>
        <v>0</v>
      </c>
      <c r="L984" s="21">
        <v>0</v>
      </c>
      <c r="M984" s="21">
        <f t="shared" si="941"/>
        <v>0</v>
      </c>
      <c r="N984" s="35"/>
      <c r="O984" s="39"/>
      <c r="U984" s="41">
        <f t="shared" si="942"/>
        <v>0</v>
      </c>
      <c r="W984" s="41">
        <f t="shared" si="943"/>
        <v>0</v>
      </c>
      <c r="X984" s="41">
        <f t="shared" si="944"/>
        <v>0</v>
      </c>
      <c r="Y984" s="41">
        <f t="shared" si="945"/>
        <v>0</v>
      </c>
      <c r="Z984" s="41">
        <f t="shared" si="946"/>
        <v>0</v>
      </c>
      <c r="AA984" s="41">
        <f t="shared" si="947"/>
        <v>0</v>
      </c>
      <c r="AB984" s="41">
        <f t="shared" si="948"/>
        <v>0</v>
      </c>
      <c r="AC984" s="41">
        <f t="shared" si="949"/>
        <v>0</v>
      </c>
      <c r="AD984" s="31"/>
      <c r="AE984" s="21">
        <f t="shared" si="950"/>
        <v>0</v>
      </c>
      <c r="AF984" s="21">
        <f t="shared" si="951"/>
        <v>0</v>
      </c>
      <c r="AG984" s="21">
        <f t="shared" si="952"/>
        <v>0</v>
      </c>
      <c r="AI984" s="41">
        <v>21</v>
      </c>
      <c r="AJ984" s="41">
        <f>H984*0.994152046783626</f>
        <v>0</v>
      </c>
      <c r="AK984" s="41">
        <f>H984*(1-0.994152046783626)</f>
        <v>0</v>
      </c>
      <c r="AL984" s="42" t="s">
        <v>8</v>
      </c>
      <c r="AQ984" s="41">
        <f t="shared" si="953"/>
        <v>0</v>
      </c>
      <c r="AR984" s="41">
        <f t="shared" si="954"/>
        <v>0</v>
      </c>
      <c r="AS984" s="41">
        <f t="shared" si="955"/>
        <v>0</v>
      </c>
      <c r="AT984" s="44" t="s">
        <v>2473</v>
      </c>
      <c r="AU984" s="44" t="s">
        <v>2485</v>
      </c>
      <c r="AV984" s="31" t="s">
        <v>2486</v>
      </c>
      <c r="AX984" s="41">
        <f t="shared" si="956"/>
        <v>0</v>
      </c>
      <c r="AY984" s="41">
        <f t="shared" si="957"/>
        <v>0</v>
      </c>
      <c r="AZ984" s="41">
        <v>0</v>
      </c>
      <c r="BA984" s="41">
        <f t="shared" si="958"/>
        <v>0</v>
      </c>
      <c r="BC984" s="21">
        <f t="shared" si="959"/>
        <v>0</v>
      </c>
      <c r="BD984" s="21">
        <f t="shared" si="960"/>
        <v>0</v>
      </c>
      <c r="BE984" s="21">
        <f t="shared" si="961"/>
        <v>0</v>
      </c>
      <c r="BF984" s="21" t="s">
        <v>2492</v>
      </c>
      <c r="BG984" s="41" t="s">
        <v>1489</v>
      </c>
    </row>
    <row r="985" spans="1:59" x14ac:dyDescent="0.3">
      <c r="A985" s="4" t="s">
        <v>942</v>
      </c>
      <c r="B985" s="13"/>
      <c r="C985" s="13" t="s">
        <v>1562</v>
      </c>
      <c r="D985" s="101" t="s">
        <v>2319</v>
      </c>
      <c r="E985" s="102"/>
      <c r="F985" s="13" t="s">
        <v>2384</v>
      </c>
      <c r="G985" s="21">
        <v>24</v>
      </c>
      <c r="H985" s="21">
        <v>0</v>
      </c>
      <c r="I985" s="21">
        <f t="shared" si="938"/>
        <v>0</v>
      </c>
      <c r="J985" s="21">
        <f t="shared" si="939"/>
        <v>0</v>
      </c>
      <c r="K985" s="21">
        <f t="shared" si="940"/>
        <v>0</v>
      </c>
      <c r="L985" s="21">
        <v>0</v>
      </c>
      <c r="M985" s="21">
        <f t="shared" si="941"/>
        <v>0</v>
      </c>
      <c r="N985" s="35"/>
      <c r="O985" s="39"/>
      <c r="U985" s="41">
        <f t="shared" si="942"/>
        <v>0</v>
      </c>
      <c r="W985" s="41">
        <f t="shared" si="943"/>
        <v>0</v>
      </c>
      <c r="X985" s="41">
        <f t="shared" si="944"/>
        <v>0</v>
      </c>
      <c r="Y985" s="41">
        <f t="shared" si="945"/>
        <v>0</v>
      </c>
      <c r="Z985" s="41">
        <f t="shared" si="946"/>
        <v>0</v>
      </c>
      <c r="AA985" s="41">
        <f t="shared" si="947"/>
        <v>0</v>
      </c>
      <c r="AB985" s="41">
        <f t="shared" si="948"/>
        <v>0</v>
      </c>
      <c r="AC985" s="41">
        <f t="shared" si="949"/>
        <v>0</v>
      </c>
      <c r="AD985" s="31"/>
      <c r="AE985" s="21">
        <f t="shared" si="950"/>
        <v>0</v>
      </c>
      <c r="AF985" s="21">
        <f t="shared" si="951"/>
        <v>0</v>
      </c>
      <c r="AG985" s="21">
        <f t="shared" si="952"/>
        <v>0</v>
      </c>
      <c r="AI985" s="41">
        <v>21</v>
      </c>
      <c r="AJ985" s="41">
        <f>H985*0.0449438202247191</f>
        <v>0</v>
      </c>
      <c r="AK985" s="41">
        <f>H985*(1-0.0449438202247191)</f>
        <v>0</v>
      </c>
      <c r="AL985" s="42" t="s">
        <v>8</v>
      </c>
      <c r="AQ985" s="41">
        <f t="shared" si="953"/>
        <v>0</v>
      </c>
      <c r="AR985" s="41">
        <f t="shared" si="954"/>
        <v>0</v>
      </c>
      <c r="AS985" s="41">
        <f t="shared" si="955"/>
        <v>0</v>
      </c>
      <c r="AT985" s="44" t="s">
        <v>2473</v>
      </c>
      <c r="AU985" s="44" t="s">
        <v>2485</v>
      </c>
      <c r="AV985" s="31" t="s">
        <v>2486</v>
      </c>
      <c r="AX985" s="41">
        <f t="shared" si="956"/>
        <v>0</v>
      </c>
      <c r="AY985" s="41">
        <f t="shared" si="957"/>
        <v>0</v>
      </c>
      <c r="AZ985" s="41">
        <v>0</v>
      </c>
      <c r="BA985" s="41">
        <f t="shared" si="958"/>
        <v>0</v>
      </c>
      <c r="BC985" s="21">
        <f t="shared" si="959"/>
        <v>0</v>
      </c>
      <c r="BD985" s="21">
        <f t="shared" si="960"/>
        <v>0</v>
      </c>
      <c r="BE985" s="21">
        <f t="shared" si="961"/>
        <v>0</v>
      </c>
      <c r="BF985" s="21" t="s">
        <v>2492</v>
      </c>
      <c r="BG985" s="41" t="s">
        <v>1489</v>
      </c>
    </row>
    <row r="986" spans="1:59" x14ac:dyDescent="0.3">
      <c r="A986" s="4" t="s">
        <v>943</v>
      </c>
      <c r="B986" s="13"/>
      <c r="C986" s="13" t="s">
        <v>1563</v>
      </c>
      <c r="D986" s="101" t="s">
        <v>2320</v>
      </c>
      <c r="E986" s="102"/>
      <c r="F986" s="13" t="s">
        <v>2385</v>
      </c>
      <c r="G986" s="21">
        <v>30</v>
      </c>
      <c r="H986" s="21">
        <v>0</v>
      </c>
      <c r="I986" s="21">
        <f t="shared" si="938"/>
        <v>0</v>
      </c>
      <c r="J986" s="21">
        <f t="shared" si="939"/>
        <v>0</v>
      </c>
      <c r="K986" s="21">
        <f t="shared" si="940"/>
        <v>0</v>
      </c>
      <c r="L986" s="21">
        <v>0</v>
      </c>
      <c r="M986" s="21">
        <f t="shared" si="941"/>
        <v>0</v>
      </c>
      <c r="N986" s="35"/>
      <c r="O986" s="39"/>
      <c r="U986" s="41">
        <f t="shared" si="942"/>
        <v>0</v>
      </c>
      <c r="W986" s="41">
        <f t="shared" si="943"/>
        <v>0</v>
      </c>
      <c r="X986" s="41">
        <f t="shared" si="944"/>
        <v>0</v>
      </c>
      <c r="Y986" s="41">
        <f t="shared" si="945"/>
        <v>0</v>
      </c>
      <c r="Z986" s="41">
        <f t="shared" si="946"/>
        <v>0</v>
      </c>
      <c r="AA986" s="41">
        <f t="shared" si="947"/>
        <v>0</v>
      </c>
      <c r="AB986" s="41">
        <f t="shared" si="948"/>
        <v>0</v>
      </c>
      <c r="AC986" s="41">
        <f t="shared" si="949"/>
        <v>0</v>
      </c>
      <c r="AD986" s="31"/>
      <c r="AE986" s="21">
        <f t="shared" si="950"/>
        <v>0</v>
      </c>
      <c r="AF986" s="21">
        <f t="shared" si="951"/>
        <v>0</v>
      </c>
      <c r="AG986" s="21">
        <f t="shared" si="952"/>
        <v>0</v>
      </c>
      <c r="AI986" s="41">
        <v>21</v>
      </c>
      <c r="AJ986" s="41">
        <f>H986*0.375</f>
        <v>0</v>
      </c>
      <c r="AK986" s="41">
        <f>H986*(1-0.375)</f>
        <v>0</v>
      </c>
      <c r="AL986" s="42" t="s">
        <v>8</v>
      </c>
      <c r="AQ986" s="41">
        <f t="shared" si="953"/>
        <v>0</v>
      </c>
      <c r="AR986" s="41">
        <f t="shared" si="954"/>
        <v>0</v>
      </c>
      <c r="AS986" s="41">
        <f t="shared" si="955"/>
        <v>0</v>
      </c>
      <c r="AT986" s="44" t="s">
        <v>2473</v>
      </c>
      <c r="AU986" s="44" t="s">
        <v>2485</v>
      </c>
      <c r="AV986" s="31" t="s">
        <v>2486</v>
      </c>
      <c r="AX986" s="41">
        <f t="shared" si="956"/>
        <v>0</v>
      </c>
      <c r="AY986" s="41">
        <f t="shared" si="957"/>
        <v>0</v>
      </c>
      <c r="AZ986" s="41">
        <v>0</v>
      </c>
      <c r="BA986" s="41">
        <f t="shared" si="958"/>
        <v>0</v>
      </c>
      <c r="BC986" s="21">
        <f t="shared" si="959"/>
        <v>0</v>
      </c>
      <c r="BD986" s="21">
        <f t="shared" si="960"/>
        <v>0</v>
      </c>
      <c r="BE986" s="21">
        <f t="shared" si="961"/>
        <v>0</v>
      </c>
      <c r="BF986" s="21" t="s">
        <v>2492</v>
      </c>
      <c r="BG986" s="41" t="s">
        <v>1489</v>
      </c>
    </row>
    <row r="987" spans="1:59" x14ac:dyDescent="0.3">
      <c r="A987" s="4" t="s">
        <v>944</v>
      </c>
      <c r="B987" s="13"/>
      <c r="C987" s="13" t="s">
        <v>1564</v>
      </c>
      <c r="D987" s="101" t="s">
        <v>2321</v>
      </c>
      <c r="E987" s="102"/>
      <c r="F987" s="13" t="s">
        <v>2384</v>
      </c>
      <c r="G987" s="21">
        <v>6</v>
      </c>
      <c r="H987" s="21">
        <v>0</v>
      </c>
      <c r="I987" s="21">
        <f t="shared" si="938"/>
        <v>0</v>
      </c>
      <c r="J987" s="21">
        <f t="shared" si="939"/>
        <v>0</v>
      </c>
      <c r="K987" s="21">
        <f t="shared" si="940"/>
        <v>0</v>
      </c>
      <c r="L987" s="21">
        <v>0</v>
      </c>
      <c r="M987" s="21">
        <f t="shared" si="941"/>
        <v>0</v>
      </c>
      <c r="N987" s="35"/>
      <c r="O987" s="39"/>
      <c r="U987" s="41">
        <f t="shared" si="942"/>
        <v>0</v>
      </c>
      <c r="W987" s="41">
        <f t="shared" si="943"/>
        <v>0</v>
      </c>
      <c r="X987" s="41">
        <f t="shared" si="944"/>
        <v>0</v>
      </c>
      <c r="Y987" s="41">
        <f t="shared" si="945"/>
        <v>0</v>
      </c>
      <c r="Z987" s="41">
        <f t="shared" si="946"/>
        <v>0</v>
      </c>
      <c r="AA987" s="41">
        <f t="shared" si="947"/>
        <v>0</v>
      </c>
      <c r="AB987" s="41">
        <f t="shared" si="948"/>
        <v>0</v>
      </c>
      <c r="AC987" s="41">
        <f t="shared" si="949"/>
        <v>0</v>
      </c>
      <c r="AD987" s="31"/>
      <c r="AE987" s="21">
        <f t="shared" si="950"/>
        <v>0</v>
      </c>
      <c r="AF987" s="21">
        <f t="shared" si="951"/>
        <v>0</v>
      </c>
      <c r="AG987" s="21">
        <f t="shared" si="952"/>
        <v>0</v>
      </c>
      <c r="AI987" s="41">
        <v>21</v>
      </c>
      <c r="AJ987" s="41">
        <f>H987*0.967741935483871</f>
        <v>0</v>
      </c>
      <c r="AK987" s="41">
        <f>H987*(1-0.967741935483871)</f>
        <v>0</v>
      </c>
      <c r="AL987" s="42" t="s">
        <v>8</v>
      </c>
      <c r="AQ987" s="41">
        <f t="shared" si="953"/>
        <v>0</v>
      </c>
      <c r="AR987" s="41">
        <f t="shared" si="954"/>
        <v>0</v>
      </c>
      <c r="AS987" s="41">
        <f t="shared" si="955"/>
        <v>0</v>
      </c>
      <c r="AT987" s="44" t="s">
        <v>2473</v>
      </c>
      <c r="AU987" s="44" t="s">
        <v>2485</v>
      </c>
      <c r="AV987" s="31" t="s">
        <v>2486</v>
      </c>
      <c r="AX987" s="41">
        <f t="shared" si="956"/>
        <v>0</v>
      </c>
      <c r="AY987" s="41">
        <f t="shared" si="957"/>
        <v>0</v>
      </c>
      <c r="AZ987" s="41">
        <v>0</v>
      </c>
      <c r="BA987" s="41">
        <f t="shared" si="958"/>
        <v>0</v>
      </c>
      <c r="BC987" s="21">
        <f t="shared" si="959"/>
        <v>0</v>
      </c>
      <c r="BD987" s="21">
        <f t="shared" si="960"/>
        <v>0</v>
      </c>
      <c r="BE987" s="21">
        <f t="shared" si="961"/>
        <v>0</v>
      </c>
      <c r="BF987" s="21" t="s">
        <v>2492</v>
      </c>
      <c r="BG987" s="41" t="s">
        <v>1489</v>
      </c>
    </row>
    <row r="988" spans="1:59" x14ac:dyDescent="0.3">
      <c r="A988" s="4" t="s">
        <v>945</v>
      </c>
      <c r="B988" s="13"/>
      <c r="C988" s="13" t="s">
        <v>1565</v>
      </c>
      <c r="D988" s="101" t="s">
        <v>2322</v>
      </c>
      <c r="E988" s="102"/>
      <c r="F988" s="13" t="s">
        <v>2385</v>
      </c>
      <c r="G988" s="21">
        <v>125</v>
      </c>
      <c r="H988" s="21">
        <v>0</v>
      </c>
      <c r="I988" s="21">
        <f t="shared" si="938"/>
        <v>0</v>
      </c>
      <c r="J988" s="21">
        <f t="shared" si="939"/>
        <v>0</v>
      </c>
      <c r="K988" s="21">
        <f t="shared" si="940"/>
        <v>0</v>
      </c>
      <c r="L988" s="21">
        <v>0</v>
      </c>
      <c r="M988" s="21">
        <f t="shared" si="941"/>
        <v>0</v>
      </c>
      <c r="N988" s="35"/>
      <c r="O988" s="39"/>
      <c r="U988" s="41">
        <f t="shared" si="942"/>
        <v>0</v>
      </c>
      <c r="W988" s="41">
        <f t="shared" si="943"/>
        <v>0</v>
      </c>
      <c r="X988" s="41">
        <f t="shared" si="944"/>
        <v>0</v>
      </c>
      <c r="Y988" s="41">
        <f t="shared" si="945"/>
        <v>0</v>
      </c>
      <c r="Z988" s="41">
        <f t="shared" si="946"/>
        <v>0</v>
      </c>
      <c r="AA988" s="41">
        <f t="shared" si="947"/>
        <v>0</v>
      </c>
      <c r="AB988" s="41">
        <f t="shared" si="948"/>
        <v>0</v>
      </c>
      <c r="AC988" s="41">
        <f t="shared" si="949"/>
        <v>0</v>
      </c>
      <c r="AD988" s="31"/>
      <c r="AE988" s="21">
        <f t="shared" si="950"/>
        <v>0</v>
      </c>
      <c r="AF988" s="21">
        <f t="shared" si="951"/>
        <v>0</v>
      </c>
      <c r="AG988" s="21">
        <f t="shared" si="952"/>
        <v>0</v>
      </c>
      <c r="AI988" s="41">
        <v>21</v>
      </c>
      <c r="AJ988" s="41">
        <f>H988*0.342105263157895</f>
        <v>0</v>
      </c>
      <c r="AK988" s="41">
        <f>H988*(1-0.342105263157895)</f>
        <v>0</v>
      </c>
      <c r="AL988" s="42" t="s">
        <v>8</v>
      </c>
      <c r="AQ988" s="41">
        <f t="shared" si="953"/>
        <v>0</v>
      </c>
      <c r="AR988" s="41">
        <f t="shared" si="954"/>
        <v>0</v>
      </c>
      <c r="AS988" s="41">
        <f t="shared" si="955"/>
        <v>0</v>
      </c>
      <c r="AT988" s="44" t="s">
        <v>2473</v>
      </c>
      <c r="AU988" s="44" t="s">
        <v>2485</v>
      </c>
      <c r="AV988" s="31" t="s">
        <v>2486</v>
      </c>
      <c r="AX988" s="41">
        <f t="shared" si="956"/>
        <v>0</v>
      </c>
      <c r="AY988" s="41">
        <f t="shared" si="957"/>
        <v>0</v>
      </c>
      <c r="AZ988" s="41">
        <v>0</v>
      </c>
      <c r="BA988" s="41">
        <f t="shared" si="958"/>
        <v>0</v>
      </c>
      <c r="BC988" s="21">
        <f t="shared" si="959"/>
        <v>0</v>
      </c>
      <c r="BD988" s="21">
        <f t="shared" si="960"/>
        <v>0</v>
      </c>
      <c r="BE988" s="21">
        <f t="shared" si="961"/>
        <v>0</v>
      </c>
      <c r="BF988" s="21" t="s">
        <v>2492</v>
      </c>
      <c r="BG988" s="41" t="s">
        <v>1489</v>
      </c>
    </row>
    <row r="989" spans="1:59" x14ac:dyDescent="0.3">
      <c r="A989" s="4" t="s">
        <v>946</v>
      </c>
      <c r="B989" s="13"/>
      <c r="C989" s="13" t="s">
        <v>1566</v>
      </c>
      <c r="D989" s="101" t="s">
        <v>2323</v>
      </c>
      <c r="E989" s="102"/>
      <c r="F989" s="13" t="s">
        <v>2384</v>
      </c>
      <c r="G989" s="21">
        <v>1</v>
      </c>
      <c r="H989" s="21">
        <v>0</v>
      </c>
      <c r="I989" s="21">
        <f t="shared" si="938"/>
        <v>0</v>
      </c>
      <c r="J989" s="21">
        <f t="shared" si="939"/>
        <v>0</v>
      </c>
      <c r="K989" s="21">
        <f t="shared" si="940"/>
        <v>0</v>
      </c>
      <c r="L989" s="21">
        <v>0</v>
      </c>
      <c r="M989" s="21">
        <f t="shared" si="941"/>
        <v>0</v>
      </c>
      <c r="N989" s="35"/>
      <c r="O989" s="39"/>
      <c r="U989" s="41">
        <f t="shared" si="942"/>
        <v>0</v>
      </c>
      <c r="W989" s="41">
        <f t="shared" si="943"/>
        <v>0</v>
      </c>
      <c r="X989" s="41">
        <f t="shared" si="944"/>
        <v>0</v>
      </c>
      <c r="Y989" s="41">
        <f t="shared" si="945"/>
        <v>0</v>
      </c>
      <c r="Z989" s="41">
        <f t="shared" si="946"/>
        <v>0</v>
      </c>
      <c r="AA989" s="41">
        <f t="shared" si="947"/>
        <v>0</v>
      </c>
      <c r="AB989" s="41">
        <f t="shared" si="948"/>
        <v>0</v>
      </c>
      <c r="AC989" s="41">
        <f t="shared" si="949"/>
        <v>0</v>
      </c>
      <c r="AD989" s="31"/>
      <c r="AE989" s="21">
        <f t="shared" si="950"/>
        <v>0</v>
      </c>
      <c r="AF989" s="21">
        <f t="shared" si="951"/>
        <v>0</v>
      </c>
      <c r="AG989" s="21">
        <f t="shared" si="952"/>
        <v>0</v>
      </c>
      <c r="AI989" s="41">
        <v>21</v>
      </c>
      <c r="AJ989" s="41">
        <f>H989*0.996168582375479</f>
        <v>0</v>
      </c>
      <c r="AK989" s="41">
        <f>H989*(1-0.996168582375479)</f>
        <v>0</v>
      </c>
      <c r="AL989" s="42" t="s">
        <v>8</v>
      </c>
      <c r="AQ989" s="41">
        <f t="shared" si="953"/>
        <v>0</v>
      </c>
      <c r="AR989" s="41">
        <f t="shared" si="954"/>
        <v>0</v>
      </c>
      <c r="AS989" s="41">
        <f t="shared" si="955"/>
        <v>0</v>
      </c>
      <c r="AT989" s="44" t="s">
        <v>2473</v>
      </c>
      <c r="AU989" s="44" t="s">
        <v>2485</v>
      </c>
      <c r="AV989" s="31" t="s">
        <v>2486</v>
      </c>
      <c r="AX989" s="41">
        <f t="shared" si="956"/>
        <v>0</v>
      </c>
      <c r="AY989" s="41">
        <f t="shared" si="957"/>
        <v>0</v>
      </c>
      <c r="AZ989" s="41">
        <v>0</v>
      </c>
      <c r="BA989" s="41">
        <f t="shared" si="958"/>
        <v>0</v>
      </c>
      <c r="BC989" s="21">
        <f t="shared" si="959"/>
        <v>0</v>
      </c>
      <c r="BD989" s="21">
        <f t="shared" si="960"/>
        <v>0</v>
      </c>
      <c r="BE989" s="21">
        <f t="shared" si="961"/>
        <v>0</v>
      </c>
      <c r="BF989" s="21" t="s">
        <v>2492</v>
      </c>
      <c r="BG989" s="41" t="s">
        <v>1489</v>
      </c>
    </row>
    <row r="990" spans="1:59" x14ac:dyDescent="0.3">
      <c r="A990" s="4" t="s">
        <v>947</v>
      </c>
      <c r="B990" s="13"/>
      <c r="C990" s="13" t="s">
        <v>1567</v>
      </c>
      <c r="D990" s="101" t="s">
        <v>2324</v>
      </c>
      <c r="E990" s="102"/>
      <c r="F990" s="13" t="s">
        <v>2384</v>
      </c>
      <c r="G990" s="21">
        <v>2</v>
      </c>
      <c r="H990" s="21">
        <v>0</v>
      </c>
      <c r="I990" s="21">
        <f t="shared" si="938"/>
        <v>0</v>
      </c>
      <c r="J990" s="21">
        <f t="shared" si="939"/>
        <v>0</v>
      </c>
      <c r="K990" s="21">
        <f t="shared" si="940"/>
        <v>0</v>
      </c>
      <c r="L990" s="21">
        <v>0</v>
      </c>
      <c r="M990" s="21">
        <f t="shared" si="941"/>
        <v>0</v>
      </c>
      <c r="N990" s="35"/>
      <c r="O990" s="39"/>
      <c r="U990" s="41">
        <f t="shared" si="942"/>
        <v>0</v>
      </c>
      <c r="W990" s="41">
        <f t="shared" si="943"/>
        <v>0</v>
      </c>
      <c r="X990" s="41">
        <f t="shared" si="944"/>
        <v>0</v>
      </c>
      <c r="Y990" s="41">
        <f t="shared" si="945"/>
        <v>0</v>
      </c>
      <c r="Z990" s="41">
        <f t="shared" si="946"/>
        <v>0</v>
      </c>
      <c r="AA990" s="41">
        <f t="shared" si="947"/>
        <v>0</v>
      </c>
      <c r="AB990" s="41">
        <f t="shared" si="948"/>
        <v>0</v>
      </c>
      <c r="AC990" s="41">
        <f t="shared" si="949"/>
        <v>0</v>
      </c>
      <c r="AD990" s="31"/>
      <c r="AE990" s="21">
        <f t="shared" si="950"/>
        <v>0</v>
      </c>
      <c r="AF990" s="21">
        <f t="shared" si="951"/>
        <v>0</v>
      </c>
      <c r="AG990" s="21">
        <f t="shared" si="952"/>
        <v>0</v>
      </c>
      <c r="AI990" s="41">
        <v>21</v>
      </c>
      <c r="AJ990" s="41">
        <f>H990*0.962962962962963</f>
        <v>0</v>
      </c>
      <c r="AK990" s="41">
        <f>H990*(1-0.962962962962963)</f>
        <v>0</v>
      </c>
      <c r="AL990" s="42" t="s">
        <v>8</v>
      </c>
      <c r="AQ990" s="41">
        <f t="shared" si="953"/>
        <v>0</v>
      </c>
      <c r="AR990" s="41">
        <f t="shared" si="954"/>
        <v>0</v>
      </c>
      <c r="AS990" s="41">
        <f t="shared" si="955"/>
        <v>0</v>
      </c>
      <c r="AT990" s="44" t="s">
        <v>2473</v>
      </c>
      <c r="AU990" s="44" t="s">
        <v>2485</v>
      </c>
      <c r="AV990" s="31" t="s">
        <v>2486</v>
      </c>
      <c r="AX990" s="41">
        <f t="shared" si="956"/>
        <v>0</v>
      </c>
      <c r="AY990" s="41">
        <f t="shared" si="957"/>
        <v>0</v>
      </c>
      <c r="AZ990" s="41">
        <v>0</v>
      </c>
      <c r="BA990" s="41">
        <f t="shared" si="958"/>
        <v>0</v>
      </c>
      <c r="BC990" s="21">
        <f t="shared" si="959"/>
        <v>0</v>
      </c>
      <c r="BD990" s="21">
        <f t="shared" si="960"/>
        <v>0</v>
      </c>
      <c r="BE990" s="21">
        <f t="shared" si="961"/>
        <v>0</v>
      </c>
      <c r="BF990" s="21" t="s">
        <v>2492</v>
      </c>
      <c r="BG990" s="41" t="s">
        <v>1489</v>
      </c>
    </row>
    <row r="991" spans="1:59" x14ac:dyDescent="0.3">
      <c r="A991" s="4" t="s">
        <v>948</v>
      </c>
      <c r="B991" s="13"/>
      <c r="C991" s="13" t="s">
        <v>1568</v>
      </c>
      <c r="D991" s="101" t="s">
        <v>2325</v>
      </c>
      <c r="E991" s="102"/>
      <c r="F991" s="13" t="s">
        <v>2384</v>
      </c>
      <c r="G991" s="21">
        <v>1</v>
      </c>
      <c r="H991" s="21">
        <v>0</v>
      </c>
      <c r="I991" s="21">
        <f t="shared" si="938"/>
        <v>0</v>
      </c>
      <c r="J991" s="21">
        <f t="shared" si="939"/>
        <v>0</v>
      </c>
      <c r="K991" s="21">
        <f t="shared" si="940"/>
        <v>0</v>
      </c>
      <c r="L991" s="21">
        <v>0</v>
      </c>
      <c r="M991" s="21">
        <f t="shared" si="941"/>
        <v>0</v>
      </c>
      <c r="N991" s="35"/>
      <c r="O991" s="39"/>
      <c r="U991" s="41">
        <f t="shared" si="942"/>
        <v>0</v>
      </c>
      <c r="W991" s="41">
        <f t="shared" si="943"/>
        <v>0</v>
      </c>
      <c r="X991" s="41">
        <f t="shared" si="944"/>
        <v>0</v>
      </c>
      <c r="Y991" s="41">
        <f t="shared" si="945"/>
        <v>0</v>
      </c>
      <c r="Z991" s="41">
        <f t="shared" si="946"/>
        <v>0</v>
      </c>
      <c r="AA991" s="41">
        <f t="shared" si="947"/>
        <v>0</v>
      </c>
      <c r="AB991" s="41">
        <f t="shared" si="948"/>
        <v>0</v>
      </c>
      <c r="AC991" s="41">
        <f t="shared" si="949"/>
        <v>0</v>
      </c>
      <c r="AD991" s="31"/>
      <c r="AE991" s="21">
        <f t="shared" si="950"/>
        <v>0</v>
      </c>
      <c r="AF991" s="21">
        <f t="shared" si="951"/>
        <v>0</v>
      </c>
      <c r="AG991" s="21">
        <f t="shared" si="952"/>
        <v>0</v>
      </c>
      <c r="AI991" s="41">
        <v>21</v>
      </c>
      <c r="AJ991" s="41">
        <f>H991*0.869565217391304</f>
        <v>0</v>
      </c>
      <c r="AK991" s="41">
        <f>H991*(1-0.869565217391304)</f>
        <v>0</v>
      </c>
      <c r="AL991" s="42" t="s">
        <v>8</v>
      </c>
      <c r="AQ991" s="41">
        <f t="shared" si="953"/>
        <v>0</v>
      </c>
      <c r="AR991" s="41">
        <f t="shared" si="954"/>
        <v>0</v>
      </c>
      <c r="AS991" s="41">
        <f t="shared" si="955"/>
        <v>0</v>
      </c>
      <c r="AT991" s="44" t="s">
        <v>2473</v>
      </c>
      <c r="AU991" s="44" t="s">
        <v>2485</v>
      </c>
      <c r="AV991" s="31" t="s">
        <v>2486</v>
      </c>
      <c r="AX991" s="41">
        <f t="shared" si="956"/>
        <v>0</v>
      </c>
      <c r="AY991" s="41">
        <f t="shared" si="957"/>
        <v>0</v>
      </c>
      <c r="AZ991" s="41">
        <v>0</v>
      </c>
      <c r="BA991" s="41">
        <f t="shared" si="958"/>
        <v>0</v>
      </c>
      <c r="BC991" s="21">
        <f t="shared" si="959"/>
        <v>0</v>
      </c>
      <c r="BD991" s="21">
        <f t="shared" si="960"/>
        <v>0</v>
      </c>
      <c r="BE991" s="21">
        <f t="shared" si="961"/>
        <v>0</v>
      </c>
      <c r="BF991" s="21" t="s">
        <v>2492</v>
      </c>
      <c r="BG991" s="41" t="s">
        <v>1489</v>
      </c>
    </row>
    <row r="992" spans="1:59" x14ac:dyDescent="0.3">
      <c r="A992" s="4" t="s">
        <v>949</v>
      </c>
      <c r="B992" s="13"/>
      <c r="C992" s="13" t="s">
        <v>1569</v>
      </c>
      <c r="D992" s="101" t="s">
        <v>2326</v>
      </c>
      <c r="E992" s="102"/>
      <c r="F992" s="13" t="s">
        <v>2384</v>
      </c>
      <c r="G992" s="21">
        <v>2</v>
      </c>
      <c r="H992" s="21">
        <v>0</v>
      </c>
      <c r="I992" s="21">
        <f t="shared" si="938"/>
        <v>0</v>
      </c>
      <c r="J992" s="21">
        <f t="shared" si="939"/>
        <v>0</v>
      </c>
      <c r="K992" s="21">
        <f t="shared" si="940"/>
        <v>0</v>
      </c>
      <c r="L992" s="21">
        <v>0</v>
      </c>
      <c r="M992" s="21">
        <f t="shared" si="941"/>
        <v>0</v>
      </c>
      <c r="N992" s="35"/>
      <c r="O992" s="39"/>
      <c r="U992" s="41">
        <f t="shared" si="942"/>
        <v>0</v>
      </c>
      <c r="W992" s="41">
        <f t="shared" si="943"/>
        <v>0</v>
      </c>
      <c r="X992" s="41">
        <f t="shared" si="944"/>
        <v>0</v>
      </c>
      <c r="Y992" s="41">
        <f t="shared" si="945"/>
        <v>0</v>
      </c>
      <c r="Z992" s="41">
        <f t="shared" si="946"/>
        <v>0</v>
      </c>
      <c r="AA992" s="41">
        <f t="shared" si="947"/>
        <v>0</v>
      </c>
      <c r="AB992" s="41">
        <f t="shared" si="948"/>
        <v>0</v>
      </c>
      <c r="AC992" s="41">
        <f t="shared" si="949"/>
        <v>0</v>
      </c>
      <c r="AD992" s="31"/>
      <c r="AE992" s="21">
        <f t="shared" si="950"/>
        <v>0</v>
      </c>
      <c r="AF992" s="21">
        <f t="shared" si="951"/>
        <v>0</v>
      </c>
      <c r="AG992" s="21">
        <f t="shared" si="952"/>
        <v>0</v>
      </c>
      <c r="AI992" s="41">
        <v>21</v>
      </c>
      <c r="AJ992" s="41">
        <f>H992*0.842105263157895</f>
        <v>0</v>
      </c>
      <c r="AK992" s="41">
        <f>H992*(1-0.842105263157895)</f>
        <v>0</v>
      </c>
      <c r="AL992" s="42" t="s">
        <v>8</v>
      </c>
      <c r="AQ992" s="41">
        <f t="shared" si="953"/>
        <v>0</v>
      </c>
      <c r="AR992" s="41">
        <f t="shared" si="954"/>
        <v>0</v>
      </c>
      <c r="AS992" s="41">
        <f t="shared" si="955"/>
        <v>0</v>
      </c>
      <c r="AT992" s="44" t="s">
        <v>2473</v>
      </c>
      <c r="AU992" s="44" t="s">
        <v>2485</v>
      </c>
      <c r="AV992" s="31" t="s">
        <v>2486</v>
      </c>
      <c r="AX992" s="41">
        <f t="shared" si="956"/>
        <v>0</v>
      </c>
      <c r="AY992" s="41">
        <f t="shared" si="957"/>
        <v>0</v>
      </c>
      <c r="AZ992" s="41">
        <v>0</v>
      </c>
      <c r="BA992" s="41">
        <f t="shared" si="958"/>
        <v>0</v>
      </c>
      <c r="BC992" s="21">
        <f t="shared" si="959"/>
        <v>0</v>
      </c>
      <c r="BD992" s="21">
        <f t="shared" si="960"/>
        <v>0</v>
      </c>
      <c r="BE992" s="21">
        <f t="shared" si="961"/>
        <v>0</v>
      </c>
      <c r="BF992" s="21" t="s">
        <v>2492</v>
      </c>
      <c r="BG992" s="41" t="s">
        <v>1489</v>
      </c>
    </row>
    <row r="993" spans="1:59" x14ac:dyDescent="0.3">
      <c r="A993" s="4" t="s">
        <v>950</v>
      </c>
      <c r="B993" s="13"/>
      <c r="C993" s="13" t="s">
        <v>1570</v>
      </c>
      <c r="D993" s="101" t="s">
        <v>2327</v>
      </c>
      <c r="E993" s="102"/>
      <c r="F993" s="13" t="s">
        <v>2384</v>
      </c>
      <c r="G993" s="21">
        <v>1</v>
      </c>
      <c r="H993" s="21">
        <v>0</v>
      </c>
      <c r="I993" s="21">
        <f t="shared" si="938"/>
        <v>0</v>
      </c>
      <c r="J993" s="21">
        <f t="shared" si="939"/>
        <v>0</v>
      </c>
      <c r="K993" s="21">
        <f t="shared" si="940"/>
        <v>0</v>
      </c>
      <c r="L993" s="21">
        <v>0</v>
      </c>
      <c r="M993" s="21">
        <f t="shared" si="941"/>
        <v>0</v>
      </c>
      <c r="N993" s="35"/>
      <c r="O993" s="39"/>
      <c r="U993" s="41">
        <f t="shared" si="942"/>
        <v>0</v>
      </c>
      <c r="W993" s="41">
        <f t="shared" si="943"/>
        <v>0</v>
      </c>
      <c r="X993" s="41">
        <f t="shared" si="944"/>
        <v>0</v>
      </c>
      <c r="Y993" s="41">
        <f t="shared" si="945"/>
        <v>0</v>
      </c>
      <c r="Z993" s="41">
        <f t="shared" si="946"/>
        <v>0</v>
      </c>
      <c r="AA993" s="41">
        <f t="shared" si="947"/>
        <v>0</v>
      </c>
      <c r="AB993" s="41">
        <f t="shared" si="948"/>
        <v>0</v>
      </c>
      <c r="AC993" s="41">
        <f t="shared" si="949"/>
        <v>0</v>
      </c>
      <c r="AD993" s="31"/>
      <c r="AE993" s="21">
        <f t="shared" si="950"/>
        <v>0</v>
      </c>
      <c r="AF993" s="21">
        <f t="shared" si="951"/>
        <v>0</v>
      </c>
      <c r="AG993" s="21">
        <f t="shared" si="952"/>
        <v>0</v>
      </c>
      <c r="AI993" s="41">
        <v>21</v>
      </c>
      <c r="AJ993" s="41">
        <f>H993*0.953271028037383</f>
        <v>0</v>
      </c>
      <c r="AK993" s="41">
        <f>H993*(1-0.953271028037383)</f>
        <v>0</v>
      </c>
      <c r="AL993" s="42" t="s">
        <v>8</v>
      </c>
      <c r="AQ993" s="41">
        <f t="shared" si="953"/>
        <v>0</v>
      </c>
      <c r="AR993" s="41">
        <f t="shared" si="954"/>
        <v>0</v>
      </c>
      <c r="AS993" s="41">
        <f t="shared" si="955"/>
        <v>0</v>
      </c>
      <c r="AT993" s="44" t="s">
        <v>2473</v>
      </c>
      <c r="AU993" s="44" t="s">
        <v>2485</v>
      </c>
      <c r="AV993" s="31" t="s">
        <v>2486</v>
      </c>
      <c r="AX993" s="41">
        <f t="shared" si="956"/>
        <v>0</v>
      </c>
      <c r="AY993" s="41">
        <f t="shared" si="957"/>
        <v>0</v>
      </c>
      <c r="AZ993" s="41">
        <v>0</v>
      </c>
      <c r="BA993" s="41">
        <f t="shared" si="958"/>
        <v>0</v>
      </c>
      <c r="BC993" s="21">
        <f t="shared" si="959"/>
        <v>0</v>
      </c>
      <c r="BD993" s="21">
        <f t="shared" si="960"/>
        <v>0</v>
      </c>
      <c r="BE993" s="21">
        <f t="shared" si="961"/>
        <v>0</v>
      </c>
      <c r="BF993" s="21" t="s">
        <v>2492</v>
      </c>
      <c r="BG993" s="41" t="s">
        <v>1489</v>
      </c>
    </row>
    <row r="994" spans="1:59" x14ac:dyDescent="0.3">
      <c r="A994" s="4" t="s">
        <v>951</v>
      </c>
      <c r="B994" s="13"/>
      <c r="C994" s="13" t="s">
        <v>1571</v>
      </c>
      <c r="D994" s="101" t="s">
        <v>2328</v>
      </c>
      <c r="E994" s="102"/>
      <c r="F994" s="13" t="s">
        <v>2385</v>
      </c>
      <c r="G994" s="21">
        <v>60</v>
      </c>
      <c r="H994" s="21">
        <v>0</v>
      </c>
      <c r="I994" s="21">
        <f t="shared" si="938"/>
        <v>0</v>
      </c>
      <c r="J994" s="21">
        <f t="shared" si="939"/>
        <v>0</v>
      </c>
      <c r="K994" s="21">
        <f t="shared" si="940"/>
        <v>0</v>
      </c>
      <c r="L994" s="21">
        <v>0</v>
      </c>
      <c r="M994" s="21">
        <f t="shared" si="941"/>
        <v>0</v>
      </c>
      <c r="N994" s="35"/>
      <c r="O994" s="39"/>
      <c r="U994" s="41">
        <f t="shared" si="942"/>
        <v>0</v>
      </c>
      <c r="W994" s="41">
        <f t="shared" si="943"/>
        <v>0</v>
      </c>
      <c r="X994" s="41">
        <f t="shared" si="944"/>
        <v>0</v>
      </c>
      <c r="Y994" s="41">
        <f t="shared" si="945"/>
        <v>0</v>
      </c>
      <c r="Z994" s="41">
        <f t="shared" si="946"/>
        <v>0</v>
      </c>
      <c r="AA994" s="41">
        <f t="shared" si="947"/>
        <v>0</v>
      </c>
      <c r="AB994" s="41">
        <f t="shared" si="948"/>
        <v>0</v>
      </c>
      <c r="AC994" s="41">
        <f t="shared" si="949"/>
        <v>0</v>
      </c>
      <c r="AD994" s="31"/>
      <c r="AE994" s="21">
        <f t="shared" si="950"/>
        <v>0</v>
      </c>
      <c r="AF994" s="21">
        <f t="shared" si="951"/>
        <v>0</v>
      </c>
      <c r="AG994" s="21">
        <f t="shared" si="952"/>
        <v>0</v>
      </c>
      <c r="AI994" s="41">
        <v>21</v>
      </c>
      <c r="AJ994" s="41">
        <f>H994*0.0476190476190476</f>
        <v>0</v>
      </c>
      <c r="AK994" s="41">
        <f>H994*(1-0.0476190476190476)</f>
        <v>0</v>
      </c>
      <c r="AL994" s="42" t="s">
        <v>8</v>
      </c>
      <c r="AQ994" s="41">
        <f t="shared" si="953"/>
        <v>0</v>
      </c>
      <c r="AR994" s="41">
        <f t="shared" si="954"/>
        <v>0</v>
      </c>
      <c r="AS994" s="41">
        <f t="shared" si="955"/>
        <v>0</v>
      </c>
      <c r="AT994" s="44" t="s">
        <v>2473</v>
      </c>
      <c r="AU994" s="44" t="s">
        <v>2485</v>
      </c>
      <c r="AV994" s="31" t="s">
        <v>2486</v>
      </c>
      <c r="AX994" s="41">
        <f t="shared" si="956"/>
        <v>0</v>
      </c>
      <c r="AY994" s="41">
        <f t="shared" si="957"/>
        <v>0</v>
      </c>
      <c r="AZ994" s="41">
        <v>0</v>
      </c>
      <c r="BA994" s="41">
        <f t="shared" si="958"/>
        <v>0</v>
      </c>
      <c r="BC994" s="21">
        <f t="shared" si="959"/>
        <v>0</v>
      </c>
      <c r="BD994" s="21">
        <f t="shared" si="960"/>
        <v>0</v>
      </c>
      <c r="BE994" s="21">
        <f t="shared" si="961"/>
        <v>0</v>
      </c>
      <c r="BF994" s="21" t="s">
        <v>2492</v>
      </c>
      <c r="BG994" s="41" t="s">
        <v>1489</v>
      </c>
    </row>
    <row r="995" spans="1:59" x14ac:dyDescent="0.3">
      <c r="A995" s="4" t="s">
        <v>952</v>
      </c>
      <c r="B995" s="13"/>
      <c r="C995" s="13" t="s">
        <v>1572</v>
      </c>
      <c r="D995" s="101" t="s">
        <v>2329</v>
      </c>
      <c r="E995" s="102"/>
      <c r="F995" s="13" t="s">
        <v>2385</v>
      </c>
      <c r="G995" s="21">
        <v>150</v>
      </c>
      <c r="H995" s="21">
        <v>0</v>
      </c>
      <c r="I995" s="21">
        <f t="shared" si="938"/>
        <v>0</v>
      </c>
      <c r="J995" s="21">
        <f t="shared" si="939"/>
        <v>0</v>
      </c>
      <c r="K995" s="21">
        <f t="shared" si="940"/>
        <v>0</v>
      </c>
      <c r="L995" s="21">
        <v>0</v>
      </c>
      <c r="M995" s="21">
        <f t="shared" si="941"/>
        <v>0</v>
      </c>
      <c r="N995" s="35"/>
      <c r="O995" s="39"/>
      <c r="U995" s="41">
        <f t="shared" si="942"/>
        <v>0</v>
      </c>
      <c r="W995" s="41">
        <f t="shared" si="943"/>
        <v>0</v>
      </c>
      <c r="X995" s="41">
        <f t="shared" si="944"/>
        <v>0</v>
      </c>
      <c r="Y995" s="41">
        <f t="shared" si="945"/>
        <v>0</v>
      </c>
      <c r="Z995" s="41">
        <f t="shared" si="946"/>
        <v>0</v>
      </c>
      <c r="AA995" s="41">
        <f t="shared" si="947"/>
        <v>0</v>
      </c>
      <c r="AB995" s="41">
        <f t="shared" si="948"/>
        <v>0</v>
      </c>
      <c r="AC995" s="41">
        <f t="shared" si="949"/>
        <v>0</v>
      </c>
      <c r="AD995" s="31"/>
      <c r="AE995" s="21">
        <f t="shared" si="950"/>
        <v>0</v>
      </c>
      <c r="AF995" s="21">
        <f t="shared" si="951"/>
        <v>0</v>
      </c>
      <c r="AG995" s="21">
        <f t="shared" si="952"/>
        <v>0</v>
      </c>
      <c r="AI995" s="41">
        <v>21</v>
      </c>
      <c r="AJ995" s="41">
        <f>H995*0.181818181818182</f>
        <v>0</v>
      </c>
      <c r="AK995" s="41">
        <f>H995*(1-0.181818181818182)</f>
        <v>0</v>
      </c>
      <c r="AL995" s="42" t="s">
        <v>8</v>
      </c>
      <c r="AQ995" s="41">
        <f t="shared" si="953"/>
        <v>0</v>
      </c>
      <c r="AR995" s="41">
        <f t="shared" si="954"/>
        <v>0</v>
      </c>
      <c r="AS995" s="41">
        <f t="shared" si="955"/>
        <v>0</v>
      </c>
      <c r="AT995" s="44" t="s">
        <v>2473</v>
      </c>
      <c r="AU995" s="44" t="s">
        <v>2485</v>
      </c>
      <c r="AV995" s="31" t="s">
        <v>2486</v>
      </c>
      <c r="AX995" s="41">
        <f t="shared" si="956"/>
        <v>0</v>
      </c>
      <c r="AY995" s="41">
        <f t="shared" si="957"/>
        <v>0</v>
      </c>
      <c r="AZ995" s="41">
        <v>0</v>
      </c>
      <c r="BA995" s="41">
        <f t="shared" si="958"/>
        <v>0</v>
      </c>
      <c r="BC995" s="21">
        <f t="shared" si="959"/>
        <v>0</v>
      </c>
      <c r="BD995" s="21">
        <f t="shared" si="960"/>
        <v>0</v>
      </c>
      <c r="BE995" s="21">
        <f t="shared" si="961"/>
        <v>0</v>
      </c>
      <c r="BF995" s="21" t="s">
        <v>2492</v>
      </c>
      <c r="BG995" s="41" t="s">
        <v>1489</v>
      </c>
    </row>
    <row r="996" spans="1:59" x14ac:dyDescent="0.3">
      <c r="A996" s="4" t="s">
        <v>953</v>
      </c>
      <c r="B996" s="13"/>
      <c r="C996" s="13" t="s">
        <v>1573</v>
      </c>
      <c r="D996" s="101" t="s">
        <v>2330</v>
      </c>
      <c r="E996" s="102"/>
      <c r="F996" s="13" t="s">
        <v>2385</v>
      </c>
      <c r="G996" s="21">
        <v>210</v>
      </c>
      <c r="H996" s="21">
        <v>0</v>
      </c>
      <c r="I996" s="21">
        <f t="shared" si="938"/>
        <v>0</v>
      </c>
      <c r="J996" s="21">
        <f t="shared" si="939"/>
        <v>0</v>
      </c>
      <c r="K996" s="21">
        <f t="shared" si="940"/>
        <v>0</v>
      </c>
      <c r="L996" s="21">
        <v>0</v>
      </c>
      <c r="M996" s="21">
        <f t="shared" si="941"/>
        <v>0</v>
      </c>
      <c r="N996" s="35"/>
      <c r="O996" s="39"/>
      <c r="U996" s="41">
        <f t="shared" si="942"/>
        <v>0</v>
      </c>
      <c r="W996" s="41">
        <f t="shared" si="943"/>
        <v>0</v>
      </c>
      <c r="X996" s="41">
        <f t="shared" si="944"/>
        <v>0</v>
      </c>
      <c r="Y996" s="41">
        <f t="shared" si="945"/>
        <v>0</v>
      </c>
      <c r="Z996" s="41">
        <f t="shared" si="946"/>
        <v>0</v>
      </c>
      <c r="AA996" s="41">
        <f t="shared" si="947"/>
        <v>0</v>
      </c>
      <c r="AB996" s="41">
        <f t="shared" si="948"/>
        <v>0</v>
      </c>
      <c r="AC996" s="41">
        <f t="shared" si="949"/>
        <v>0</v>
      </c>
      <c r="AD996" s="31"/>
      <c r="AE996" s="21">
        <f t="shared" si="950"/>
        <v>0</v>
      </c>
      <c r="AF996" s="21">
        <f t="shared" si="951"/>
        <v>0</v>
      </c>
      <c r="AG996" s="21">
        <f t="shared" si="952"/>
        <v>0</v>
      </c>
      <c r="AI996" s="41">
        <v>21</v>
      </c>
      <c r="AJ996" s="41">
        <f>H996*0.75</f>
        <v>0</v>
      </c>
      <c r="AK996" s="41">
        <f>H996*(1-0.75)</f>
        <v>0</v>
      </c>
      <c r="AL996" s="42" t="s">
        <v>8</v>
      </c>
      <c r="AQ996" s="41">
        <f t="shared" si="953"/>
        <v>0</v>
      </c>
      <c r="AR996" s="41">
        <f t="shared" si="954"/>
        <v>0</v>
      </c>
      <c r="AS996" s="41">
        <f t="shared" si="955"/>
        <v>0</v>
      </c>
      <c r="AT996" s="44" t="s">
        <v>2473</v>
      </c>
      <c r="AU996" s="44" t="s">
        <v>2485</v>
      </c>
      <c r="AV996" s="31" t="s">
        <v>2486</v>
      </c>
      <c r="AX996" s="41">
        <f t="shared" si="956"/>
        <v>0</v>
      </c>
      <c r="AY996" s="41">
        <f t="shared" si="957"/>
        <v>0</v>
      </c>
      <c r="AZ996" s="41">
        <v>0</v>
      </c>
      <c r="BA996" s="41">
        <f t="shared" si="958"/>
        <v>0</v>
      </c>
      <c r="BC996" s="21">
        <f t="shared" si="959"/>
        <v>0</v>
      </c>
      <c r="BD996" s="21">
        <f t="shared" si="960"/>
        <v>0</v>
      </c>
      <c r="BE996" s="21">
        <f t="shared" si="961"/>
        <v>0</v>
      </c>
      <c r="BF996" s="21" t="s">
        <v>2492</v>
      </c>
      <c r="BG996" s="41" t="s">
        <v>1489</v>
      </c>
    </row>
    <row r="997" spans="1:59" x14ac:dyDescent="0.3">
      <c r="A997" s="4" t="s">
        <v>954</v>
      </c>
      <c r="B997" s="13"/>
      <c r="C997" s="13" t="s">
        <v>1574</v>
      </c>
      <c r="D997" s="101" t="s">
        <v>2331</v>
      </c>
      <c r="E997" s="102"/>
      <c r="F997" s="13" t="s">
        <v>2385</v>
      </c>
      <c r="G997" s="21">
        <v>60</v>
      </c>
      <c r="H997" s="21">
        <v>0</v>
      </c>
      <c r="I997" s="21">
        <f t="shared" si="938"/>
        <v>0</v>
      </c>
      <c r="J997" s="21">
        <f t="shared" si="939"/>
        <v>0</v>
      </c>
      <c r="K997" s="21">
        <f t="shared" si="940"/>
        <v>0</v>
      </c>
      <c r="L997" s="21">
        <v>0</v>
      </c>
      <c r="M997" s="21">
        <f t="shared" si="941"/>
        <v>0</v>
      </c>
      <c r="N997" s="35"/>
      <c r="O997" s="39"/>
      <c r="U997" s="41">
        <f t="shared" si="942"/>
        <v>0</v>
      </c>
      <c r="W997" s="41">
        <f t="shared" si="943"/>
        <v>0</v>
      </c>
      <c r="X997" s="41">
        <f t="shared" si="944"/>
        <v>0</v>
      </c>
      <c r="Y997" s="41">
        <f t="shared" si="945"/>
        <v>0</v>
      </c>
      <c r="Z997" s="41">
        <f t="shared" si="946"/>
        <v>0</v>
      </c>
      <c r="AA997" s="41">
        <f t="shared" si="947"/>
        <v>0</v>
      </c>
      <c r="AB997" s="41">
        <f t="shared" si="948"/>
        <v>0</v>
      </c>
      <c r="AC997" s="41">
        <f t="shared" si="949"/>
        <v>0</v>
      </c>
      <c r="AD997" s="31"/>
      <c r="AE997" s="21">
        <f t="shared" si="950"/>
        <v>0</v>
      </c>
      <c r="AF997" s="21">
        <f t="shared" si="951"/>
        <v>0</v>
      </c>
      <c r="AG997" s="21">
        <f t="shared" si="952"/>
        <v>0</v>
      </c>
      <c r="AI997" s="41">
        <v>21</v>
      </c>
      <c r="AJ997" s="41">
        <f>H997*0.620689655172414</f>
        <v>0</v>
      </c>
      <c r="AK997" s="41">
        <f>H997*(1-0.620689655172414)</f>
        <v>0</v>
      </c>
      <c r="AL997" s="42" t="s">
        <v>8</v>
      </c>
      <c r="AQ997" s="41">
        <f t="shared" si="953"/>
        <v>0</v>
      </c>
      <c r="AR997" s="41">
        <f t="shared" si="954"/>
        <v>0</v>
      </c>
      <c r="AS997" s="41">
        <f t="shared" si="955"/>
        <v>0</v>
      </c>
      <c r="AT997" s="44" t="s">
        <v>2473</v>
      </c>
      <c r="AU997" s="44" t="s">
        <v>2485</v>
      </c>
      <c r="AV997" s="31" t="s">
        <v>2486</v>
      </c>
      <c r="AX997" s="41">
        <f t="shared" si="956"/>
        <v>0</v>
      </c>
      <c r="AY997" s="41">
        <f t="shared" si="957"/>
        <v>0</v>
      </c>
      <c r="AZ997" s="41">
        <v>0</v>
      </c>
      <c r="BA997" s="41">
        <f t="shared" si="958"/>
        <v>0</v>
      </c>
      <c r="BC997" s="21">
        <f t="shared" si="959"/>
        <v>0</v>
      </c>
      <c r="BD997" s="21">
        <f t="shared" si="960"/>
        <v>0</v>
      </c>
      <c r="BE997" s="21">
        <f t="shared" si="961"/>
        <v>0</v>
      </c>
      <c r="BF997" s="21" t="s">
        <v>2492</v>
      </c>
      <c r="BG997" s="41" t="s">
        <v>1489</v>
      </c>
    </row>
    <row r="998" spans="1:59" x14ac:dyDescent="0.3">
      <c r="A998" s="4" t="s">
        <v>955</v>
      </c>
      <c r="B998" s="13"/>
      <c r="C998" s="13" t="s">
        <v>1575</v>
      </c>
      <c r="D998" s="101" t="s">
        <v>2332</v>
      </c>
      <c r="E998" s="102"/>
      <c r="F998" s="13" t="s">
        <v>2385</v>
      </c>
      <c r="G998" s="21">
        <v>150</v>
      </c>
      <c r="H998" s="21">
        <v>0</v>
      </c>
      <c r="I998" s="21">
        <f t="shared" si="938"/>
        <v>0</v>
      </c>
      <c r="J998" s="21">
        <f t="shared" si="939"/>
        <v>0</v>
      </c>
      <c r="K998" s="21">
        <f t="shared" si="940"/>
        <v>0</v>
      </c>
      <c r="L998" s="21">
        <v>0</v>
      </c>
      <c r="M998" s="21">
        <f t="shared" si="941"/>
        <v>0</v>
      </c>
      <c r="N998" s="35"/>
      <c r="O998" s="39"/>
      <c r="U998" s="41">
        <f t="shared" si="942"/>
        <v>0</v>
      </c>
      <c r="W998" s="41">
        <f t="shared" si="943"/>
        <v>0</v>
      </c>
      <c r="X998" s="41">
        <f t="shared" si="944"/>
        <v>0</v>
      </c>
      <c r="Y998" s="41">
        <f t="shared" si="945"/>
        <v>0</v>
      </c>
      <c r="Z998" s="41">
        <f t="shared" si="946"/>
        <v>0</v>
      </c>
      <c r="AA998" s="41">
        <f t="shared" si="947"/>
        <v>0</v>
      </c>
      <c r="AB998" s="41">
        <f t="shared" si="948"/>
        <v>0</v>
      </c>
      <c r="AC998" s="41">
        <f t="shared" si="949"/>
        <v>0</v>
      </c>
      <c r="AD998" s="31"/>
      <c r="AE998" s="21">
        <f t="shared" si="950"/>
        <v>0</v>
      </c>
      <c r="AF998" s="21">
        <f t="shared" si="951"/>
        <v>0</v>
      </c>
      <c r="AG998" s="21">
        <f t="shared" si="952"/>
        <v>0</v>
      </c>
      <c r="AI998" s="41">
        <v>21</v>
      </c>
      <c r="AJ998" s="41">
        <f>H998*0.541666666666667</f>
        <v>0</v>
      </c>
      <c r="AK998" s="41">
        <f>H998*(1-0.541666666666667)</f>
        <v>0</v>
      </c>
      <c r="AL998" s="42" t="s">
        <v>8</v>
      </c>
      <c r="AQ998" s="41">
        <f t="shared" si="953"/>
        <v>0</v>
      </c>
      <c r="AR998" s="41">
        <f t="shared" si="954"/>
        <v>0</v>
      </c>
      <c r="AS998" s="41">
        <f t="shared" si="955"/>
        <v>0</v>
      </c>
      <c r="AT998" s="44" t="s">
        <v>2473</v>
      </c>
      <c r="AU998" s="44" t="s">
        <v>2485</v>
      </c>
      <c r="AV998" s="31" t="s">
        <v>2486</v>
      </c>
      <c r="AX998" s="41">
        <f t="shared" si="956"/>
        <v>0</v>
      </c>
      <c r="AY998" s="41">
        <f t="shared" si="957"/>
        <v>0</v>
      </c>
      <c r="AZ998" s="41">
        <v>0</v>
      </c>
      <c r="BA998" s="41">
        <f t="shared" si="958"/>
        <v>0</v>
      </c>
      <c r="BC998" s="21">
        <f t="shared" si="959"/>
        <v>0</v>
      </c>
      <c r="BD998" s="21">
        <f t="shared" si="960"/>
        <v>0</v>
      </c>
      <c r="BE998" s="21">
        <f t="shared" si="961"/>
        <v>0</v>
      </c>
      <c r="BF998" s="21" t="s">
        <v>2492</v>
      </c>
      <c r="BG998" s="41" t="s">
        <v>1489</v>
      </c>
    </row>
    <row r="999" spans="1:59" x14ac:dyDescent="0.3">
      <c r="A999" s="4" t="s">
        <v>956</v>
      </c>
      <c r="B999" s="13"/>
      <c r="C999" s="13" t="s">
        <v>1576</v>
      </c>
      <c r="D999" s="101" t="s">
        <v>2333</v>
      </c>
      <c r="E999" s="102"/>
      <c r="F999" s="13" t="s">
        <v>2385</v>
      </c>
      <c r="G999" s="21">
        <v>600</v>
      </c>
      <c r="H999" s="21">
        <v>0</v>
      </c>
      <c r="I999" s="21">
        <f t="shared" si="938"/>
        <v>0</v>
      </c>
      <c r="J999" s="21">
        <f t="shared" si="939"/>
        <v>0</v>
      </c>
      <c r="K999" s="21">
        <f t="shared" si="940"/>
        <v>0</v>
      </c>
      <c r="L999" s="21">
        <v>0</v>
      </c>
      <c r="M999" s="21">
        <f t="shared" si="941"/>
        <v>0</v>
      </c>
      <c r="N999" s="35"/>
      <c r="O999" s="39"/>
      <c r="U999" s="41">
        <f t="shared" si="942"/>
        <v>0</v>
      </c>
      <c r="W999" s="41">
        <f t="shared" si="943"/>
        <v>0</v>
      </c>
      <c r="X999" s="41">
        <f t="shared" si="944"/>
        <v>0</v>
      </c>
      <c r="Y999" s="41">
        <f t="shared" si="945"/>
        <v>0</v>
      </c>
      <c r="Z999" s="41">
        <f t="shared" si="946"/>
        <v>0</v>
      </c>
      <c r="AA999" s="41">
        <f t="shared" si="947"/>
        <v>0</v>
      </c>
      <c r="AB999" s="41">
        <f t="shared" si="948"/>
        <v>0</v>
      </c>
      <c r="AC999" s="41">
        <f t="shared" si="949"/>
        <v>0</v>
      </c>
      <c r="AD999" s="31"/>
      <c r="AE999" s="21">
        <f t="shared" si="950"/>
        <v>0</v>
      </c>
      <c r="AF999" s="21">
        <f t="shared" si="951"/>
        <v>0</v>
      </c>
      <c r="AG999" s="21">
        <f t="shared" si="952"/>
        <v>0</v>
      </c>
      <c r="AI999" s="41">
        <v>21</v>
      </c>
      <c r="AJ999" s="41">
        <f>H999*0.352941176470588</f>
        <v>0</v>
      </c>
      <c r="AK999" s="41">
        <f>H999*(1-0.352941176470588)</f>
        <v>0</v>
      </c>
      <c r="AL999" s="42" t="s">
        <v>8</v>
      </c>
      <c r="AQ999" s="41">
        <f t="shared" si="953"/>
        <v>0</v>
      </c>
      <c r="AR999" s="41">
        <f t="shared" si="954"/>
        <v>0</v>
      </c>
      <c r="AS999" s="41">
        <f t="shared" si="955"/>
        <v>0</v>
      </c>
      <c r="AT999" s="44" t="s">
        <v>2473</v>
      </c>
      <c r="AU999" s="44" t="s">
        <v>2485</v>
      </c>
      <c r="AV999" s="31" t="s">
        <v>2486</v>
      </c>
      <c r="AX999" s="41">
        <f t="shared" si="956"/>
        <v>0</v>
      </c>
      <c r="AY999" s="41">
        <f t="shared" si="957"/>
        <v>0</v>
      </c>
      <c r="AZ999" s="41">
        <v>0</v>
      </c>
      <c r="BA999" s="41">
        <f t="shared" si="958"/>
        <v>0</v>
      </c>
      <c r="BC999" s="21">
        <f t="shared" si="959"/>
        <v>0</v>
      </c>
      <c r="BD999" s="21">
        <f t="shared" si="960"/>
        <v>0</v>
      </c>
      <c r="BE999" s="21">
        <f t="shared" si="961"/>
        <v>0</v>
      </c>
      <c r="BF999" s="21" t="s">
        <v>2492</v>
      </c>
      <c r="BG999" s="41" t="s">
        <v>1489</v>
      </c>
    </row>
    <row r="1000" spans="1:59" x14ac:dyDescent="0.3">
      <c r="A1000" s="4" t="s">
        <v>957</v>
      </c>
      <c r="B1000" s="13"/>
      <c r="C1000" s="13" t="s">
        <v>1577</v>
      </c>
      <c r="D1000" s="101" t="s">
        <v>2334</v>
      </c>
      <c r="E1000" s="102"/>
      <c r="F1000" s="13" t="s">
        <v>2385</v>
      </c>
      <c r="G1000" s="21">
        <v>200</v>
      </c>
      <c r="H1000" s="21">
        <v>0</v>
      </c>
      <c r="I1000" s="21">
        <f t="shared" si="938"/>
        <v>0</v>
      </c>
      <c r="J1000" s="21">
        <f t="shared" si="939"/>
        <v>0</v>
      </c>
      <c r="K1000" s="21">
        <f t="shared" si="940"/>
        <v>0</v>
      </c>
      <c r="L1000" s="21">
        <v>0</v>
      </c>
      <c r="M1000" s="21">
        <f t="shared" si="941"/>
        <v>0</v>
      </c>
      <c r="N1000" s="35"/>
      <c r="O1000" s="39"/>
      <c r="U1000" s="41">
        <f t="shared" si="942"/>
        <v>0</v>
      </c>
      <c r="W1000" s="41">
        <f t="shared" si="943"/>
        <v>0</v>
      </c>
      <c r="X1000" s="41">
        <f t="shared" si="944"/>
        <v>0</v>
      </c>
      <c r="Y1000" s="41">
        <f t="shared" si="945"/>
        <v>0</v>
      </c>
      <c r="Z1000" s="41">
        <f t="shared" si="946"/>
        <v>0</v>
      </c>
      <c r="AA1000" s="41">
        <f t="shared" si="947"/>
        <v>0</v>
      </c>
      <c r="AB1000" s="41">
        <f t="shared" si="948"/>
        <v>0</v>
      </c>
      <c r="AC1000" s="41">
        <f t="shared" si="949"/>
        <v>0</v>
      </c>
      <c r="AD1000" s="31"/>
      <c r="AE1000" s="21">
        <f t="shared" si="950"/>
        <v>0</v>
      </c>
      <c r="AF1000" s="21">
        <f t="shared" si="951"/>
        <v>0</v>
      </c>
      <c r="AG1000" s="21">
        <f t="shared" si="952"/>
        <v>0</v>
      </c>
      <c r="AI1000" s="41">
        <v>21</v>
      </c>
      <c r="AJ1000" s="41">
        <f>H1000*0.435897435897436</f>
        <v>0</v>
      </c>
      <c r="AK1000" s="41">
        <f>H1000*(1-0.435897435897436)</f>
        <v>0</v>
      </c>
      <c r="AL1000" s="42" t="s">
        <v>8</v>
      </c>
      <c r="AQ1000" s="41">
        <f t="shared" si="953"/>
        <v>0</v>
      </c>
      <c r="AR1000" s="41">
        <f t="shared" si="954"/>
        <v>0</v>
      </c>
      <c r="AS1000" s="41">
        <f t="shared" si="955"/>
        <v>0</v>
      </c>
      <c r="AT1000" s="44" t="s">
        <v>2473</v>
      </c>
      <c r="AU1000" s="44" t="s">
        <v>2485</v>
      </c>
      <c r="AV1000" s="31" t="s">
        <v>2486</v>
      </c>
      <c r="AX1000" s="41">
        <f t="shared" si="956"/>
        <v>0</v>
      </c>
      <c r="AY1000" s="41">
        <f t="shared" si="957"/>
        <v>0</v>
      </c>
      <c r="AZ1000" s="41">
        <v>0</v>
      </c>
      <c r="BA1000" s="41">
        <f t="shared" si="958"/>
        <v>0</v>
      </c>
      <c r="BC1000" s="21">
        <f t="shared" si="959"/>
        <v>0</v>
      </c>
      <c r="BD1000" s="21">
        <f t="shared" si="960"/>
        <v>0</v>
      </c>
      <c r="BE1000" s="21">
        <f t="shared" si="961"/>
        <v>0</v>
      </c>
      <c r="BF1000" s="21" t="s">
        <v>2492</v>
      </c>
      <c r="BG1000" s="41" t="s">
        <v>1489</v>
      </c>
    </row>
    <row r="1001" spans="1:59" x14ac:dyDescent="0.3">
      <c r="A1001" s="4" t="s">
        <v>958</v>
      </c>
      <c r="B1001" s="13"/>
      <c r="C1001" s="13" t="s">
        <v>1578</v>
      </c>
      <c r="D1001" s="101" t="s">
        <v>2335</v>
      </c>
      <c r="E1001" s="102"/>
      <c r="F1001" s="13" t="s">
        <v>2384</v>
      </c>
      <c r="G1001" s="21">
        <v>600</v>
      </c>
      <c r="H1001" s="21">
        <v>0</v>
      </c>
      <c r="I1001" s="21">
        <f t="shared" si="938"/>
        <v>0</v>
      </c>
      <c r="J1001" s="21">
        <f t="shared" si="939"/>
        <v>0</v>
      </c>
      <c r="K1001" s="21">
        <f t="shared" si="940"/>
        <v>0</v>
      </c>
      <c r="L1001" s="21">
        <v>0</v>
      </c>
      <c r="M1001" s="21">
        <f t="shared" si="941"/>
        <v>0</v>
      </c>
      <c r="N1001" s="35"/>
      <c r="O1001" s="39"/>
      <c r="U1001" s="41">
        <f t="shared" si="942"/>
        <v>0</v>
      </c>
      <c r="W1001" s="41">
        <f t="shared" si="943"/>
        <v>0</v>
      </c>
      <c r="X1001" s="41">
        <f t="shared" si="944"/>
        <v>0</v>
      </c>
      <c r="Y1001" s="41">
        <f t="shared" si="945"/>
        <v>0</v>
      </c>
      <c r="Z1001" s="41">
        <f t="shared" si="946"/>
        <v>0</v>
      </c>
      <c r="AA1001" s="41">
        <f t="shared" si="947"/>
        <v>0</v>
      </c>
      <c r="AB1001" s="41">
        <f t="shared" si="948"/>
        <v>0</v>
      </c>
      <c r="AC1001" s="41">
        <f t="shared" si="949"/>
        <v>0</v>
      </c>
      <c r="AD1001" s="31"/>
      <c r="AE1001" s="21">
        <f t="shared" si="950"/>
        <v>0</v>
      </c>
      <c r="AF1001" s="21">
        <f t="shared" si="951"/>
        <v>0</v>
      </c>
      <c r="AG1001" s="21">
        <f t="shared" si="952"/>
        <v>0</v>
      </c>
      <c r="AI1001" s="41">
        <v>21</v>
      </c>
      <c r="AJ1001" s="41">
        <f>H1001*0.25419982316534</f>
        <v>0</v>
      </c>
      <c r="AK1001" s="41">
        <f>H1001*(1-0.25419982316534)</f>
        <v>0</v>
      </c>
      <c r="AL1001" s="42" t="s">
        <v>8</v>
      </c>
      <c r="AQ1001" s="41">
        <f t="shared" si="953"/>
        <v>0</v>
      </c>
      <c r="AR1001" s="41">
        <f t="shared" si="954"/>
        <v>0</v>
      </c>
      <c r="AS1001" s="41">
        <f t="shared" si="955"/>
        <v>0</v>
      </c>
      <c r="AT1001" s="44" t="s">
        <v>2473</v>
      </c>
      <c r="AU1001" s="44" t="s">
        <v>2485</v>
      </c>
      <c r="AV1001" s="31" t="s">
        <v>2486</v>
      </c>
      <c r="AX1001" s="41">
        <f t="shared" si="956"/>
        <v>0</v>
      </c>
      <c r="AY1001" s="41">
        <f t="shared" si="957"/>
        <v>0</v>
      </c>
      <c r="AZ1001" s="41">
        <v>0</v>
      </c>
      <c r="BA1001" s="41">
        <f t="shared" si="958"/>
        <v>0</v>
      </c>
      <c r="BC1001" s="21">
        <f t="shared" si="959"/>
        <v>0</v>
      </c>
      <c r="BD1001" s="21">
        <f t="shared" si="960"/>
        <v>0</v>
      </c>
      <c r="BE1001" s="21">
        <f t="shared" si="961"/>
        <v>0</v>
      </c>
      <c r="BF1001" s="21" t="s">
        <v>2492</v>
      </c>
      <c r="BG1001" s="41" t="s">
        <v>1489</v>
      </c>
    </row>
    <row r="1002" spans="1:59" x14ac:dyDescent="0.3">
      <c r="A1002" s="4" t="s">
        <v>959</v>
      </c>
      <c r="B1002" s="13"/>
      <c r="C1002" s="13" t="s">
        <v>1579</v>
      </c>
      <c r="D1002" s="101" t="s">
        <v>2336</v>
      </c>
      <c r="E1002" s="102"/>
      <c r="F1002" s="13" t="s">
        <v>2384</v>
      </c>
      <c r="G1002" s="21">
        <v>490</v>
      </c>
      <c r="H1002" s="21">
        <v>0</v>
      </c>
      <c r="I1002" s="21">
        <f t="shared" si="938"/>
        <v>0</v>
      </c>
      <c r="J1002" s="21">
        <f t="shared" si="939"/>
        <v>0</v>
      </c>
      <c r="K1002" s="21">
        <f t="shared" si="940"/>
        <v>0</v>
      </c>
      <c r="L1002" s="21">
        <v>0</v>
      </c>
      <c r="M1002" s="21">
        <f t="shared" si="941"/>
        <v>0</v>
      </c>
      <c r="N1002" s="35"/>
      <c r="O1002" s="39"/>
      <c r="U1002" s="41">
        <f t="shared" si="942"/>
        <v>0</v>
      </c>
      <c r="W1002" s="41">
        <f t="shared" si="943"/>
        <v>0</v>
      </c>
      <c r="X1002" s="41">
        <f t="shared" si="944"/>
        <v>0</v>
      </c>
      <c r="Y1002" s="41">
        <f t="shared" si="945"/>
        <v>0</v>
      </c>
      <c r="Z1002" s="41">
        <f t="shared" si="946"/>
        <v>0</v>
      </c>
      <c r="AA1002" s="41">
        <f t="shared" si="947"/>
        <v>0</v>
      </c>
      <c r="AB1002" s="41">
        <f t="shared" si="948"/>
        <v>0</v>
      </c>
      <c r="AC1002" s="41">
        <f t="shared" si="949"/>
        <v>0</v>
      </c>
      <c r="AD1002" s="31"/>
      <c r="AE1002" s="21">
        <f t="shared" si="950"/>
        <v>0</v>
      </c>
      <c r="AF1002" s="21">
        <f t="shared" si="951"/>
        <v>0</v>
      </c>
      <c r="AG1002" s="21">
        <f t="shared" si="952"/>
        <v>0</v>
      </c>
      <c r="AI1002" s="41">
        <v>21</v>
      </c>
      <c r="AJ1002" s="41">
        <f>H1002*0.301545680375379</f>
        <v>0</v>
      </c>
      <c r="AK1002" s="41">
        <f>H1002*(1-0.301545680375379)</f>
        <v>0</v>
      </c>
      <c r="AL1002" s="42" t="s">
        <v>8</v>
      </c>
      <c r="AQ1002" s="41">
        <f t="shared" si="953"/>
        <v>0</v>
      </c>
      <c r="AR1002" s="41">
        <f t="shared" si="954"/>
        <v>0</v>
      </c>
      <c r="AS1002" s="41">
        <f t="shared" si="955"/>
        <v>0</v>
      </c>
      <c r="AT1002" s="44" t="s">
        <v>2473</v>
      </c>
      <c r="AU1002" s="44" t="s">
        <v>2485</v>
      </c>
      <c r="AV1002" s="31" t="s">
        <v>2486</v>
      </c>
      <c r="AX1002" s="41">
        <f t="shared" si="956"/>
        <v>0</v>
      </c>
      <c r="AY1002" s="41">
        <f t="shared" si="957"/>
        <v>0</v>
      </c>
      <c r="AZ1002" s="41">
        <v>0</v>
      </c>
      <c r="BA1002" s="41">
        <f t="shared" si="958"/>
        <v>0</v>
      </c>
      <c r="BC1002" s="21">
        <f t="shared" si="959"/>
        <v>0</v>
      </c>
      <c r="BD1002" s="21">
        <f t="shared" si="960"/>
        <v>0</v>
      </c>
      <c r="BE1002" s="21">
        <f t="shared" si="961"/>
        <v>0</v>
      </c>
      <c r="BF1002" s="21" t="s">
        <v>2492</v>
      </c>
      <c r="BG1002" s="41" t="s">
        <v>1489</v>
      </c>
    </row>
    <row r="1003" spans="1:59" x14ac:dyDescent="0.3">
      <c r="A1003" s="4" t="s">
        <v>960</v>
      </c>
      <c r="B1003" s="13"/>
      <c r="C1003" s="13" t="s">
        <v>1580</v>
      </c>
      <c r="D1003" s="101" t="s">
        <v>2337</v>
      </c>
      <c r="E1003" s="102"/>
      <c r="F1003" s="13" t="s">
        <v>2396</v>
      </c>
      <c r="G1003" s="21">
        <v>1.55</v>
      </c>
      <c r="H1003" s="21">
        <v>0</v>
      </c>
      <c r="I1003" s="21">
        <f t="shared" si="938"/>
        <v>0</v>
      </c>
      <c r="J1003" s="21">
        <f t="shared" si="939"/>
        <v>0</v>
      </c>
      <c r="K1003" s="21">
        <f t="shared" si="940"/>
        <v>0</v>
      </c>
      <c r="L1003" s="21">
        <v>0</v>
      </c>
      <c r="M1003" s="21">
        <f t="shared" si="941"/>
        <v>0</v>
      </c>
      <c r="N1003" s="35"/>
      <c r="O1003" s="39"/>
      <c r="U1003" s="41">
        <f t="shared" si="942"/>
        <v>0</v>
      </c>
      <c r="W1003" s="41">
        <f t="shared" si="943"/>
        <v>0</v>
      </c>
      <c r="X1003" s="41">
        <f t="shared" si="944"/>
        <v>0</v>
      </c>
      <c r="Y1003" s="41">
        <f t="shared" si="945"/>
        <v>0</v>
      </c>
      <c r="Z1003" s="41">
        <f t="shared" si="946"/>
        <v>0</v>
      </c>
      <c r="AA1003" s="41">
        <f t="shared" si="947"/>
        <v>0</v>
      </c>
      <c r="AB1003" s="41">
        <f t="shared" si="948"/>
        <v>0</v>
      </c>
      <c r="AC1003" s="41">
        <f t="shared" si="949"/>
        <v>0</v>
      </c>
      <c r="AD1003" s="31"/>
      <c r="AE1003" s="21">
        <f t="shared" si="950"/>
        <v>0</v>
      </c>
      <c r="AF1003" s="21">
        <f t="shared" si="951"/>
        <v>0</v>
      </c>
      <c r="AG1003" s="21">
        <f t="shared" si="952"/>
        <v>0</v>
      </c>
      <c r="AI1003" s="41">
        <v>21</v>
      </c>
      <c r="AJ1003" s="41">
        <f>H1003*0.962962562791517</f>
        <v>0</v>
      </c>
      <c r="AK1003" s="41">
        <f>H1003*(1-0.962962562791517)</f>
        <v>0</v>
      </c>
      <c r="AL1003" s="42" t="s">
        <v>8</v>
      </c>
      <c r="AQ1003" s="41">
        <f t="shared" si="953"/>
        <v>0</v>
      </c>
      <c r="AR1003" s="41">
        <f t="shared" si="954"/>
        <v>0</v>
      </c>
      <c r="AS1003" s="41">
        <f t="shared" si="955"/>
        <v>0</v>
      </c>
      <c r="AT1003" s="44" t="s">
        <v>2473</v>
      </c>
      <c r="AU1003" s="44" t="s">
        <v>2485</v>
      </c>
      <c r="AV1003" s="31" t="s">
        <v>2486</v>
      </c>
      <c r="AX1003" s="41">
        <f t="shared" si="956"/>
        <v>0</v>
      </c>
      <c r="AY1003" s="41">
        <f t="shared" si="957"/>
        <v>0</v>
      </c>
      <c r="AZ1003" s="41">
        <v>0</v>
      </c>
      <c r="BA1003" s="41">
        <f t="shared" si="958"/>
        <v>0</v>
      </c>
      <c r="BC1003" s="21">
        <f t="shared" si="959"/>
        <v>0</v>
      </c>
      <c r="BD1003" s="21">
        <f t="shared" si="960"/>
        <v>0</v>
      </c>
      <c r="BE1003" s="21">
        <f t="shared" si="961"/>
        <v>0</v>
      </c>
      <c r="BF1003" s="21" t="s">
        <v>2492</v>
      </c>
      <c r="BG1003" s="41" t="s">
        <v>1489</v>
      </c>
    </row>
    <row r="1004" spans="1:59" x14ac:dyDescent="0.3">
      <c r="A1004" s="5"/>
      <c r="B1004" s="14"/>
      <c r="C1004" s="14" t="s">
        <v>1581</v>
      </c>
      <c r="D1004" s="103" t="s">
        <v>2338</v>
      </c>
      <c r="E1004" s="104"/>
      <c r="F1004" s="19" t="s">
        <v>6</v>
      </c>
      <c r="G1004" s="19" t="s">
        <v>6</v>
      </c>
      <c r="H1004" s="19" t="s">
        <v>6</v>
      </c>
      <c r="I1004" s="47">
        <f>SUM(I1005:I1046)</f>
        <v>0</v>
      </c>
      <c r="J1004" s="47">
        <f>SUM(J1005:J1046)</f>
        <v>0</v>
      </c>
      <c r="K1004" s="47">
        <f>SUM(K1005:K1046)</f>
        <v>0</v>
      </c>
      <c r="L1004" s="31"/>
      <c r="M1004" s="47">
        <f>SUM(M1005:M1046)</f>
        <v>0</v>
      </c>
      <c r="N1004" s="36"/>
      <c r="O1004" s="39"/>
      <c r="AD1004" s="31"/>
      <c r="AN1004" s="47">
        <f>SUM(AE1005:AE1046)</f>
        <v>0</v>
      </c>
      <c r="AO1004" s="47">
        <f>SUM(AF1005:AF1046)</f>
        <v>0</v>
      </c>
      <c r="AP1004" s="47">
        <f>SUM(AG1005:AG1046)</f>
        <v>0</v>
      </c>
    </row>
    <row r="1005" spans="1:59" x14ac:dyDescent="0.3">
      <c r="A1005" s="4" t="s">
        <v>961</v>
      </c>
      <c r="B1005" s="13"/>
      <c r="C1005" s="13" t="s">
        <v>1582</v>
      </c>
      <c r="D1005" s="101" t="s">
        <v>2339</v>
      </c>
      <c r="E1005" s="102"/>
      <c r="F1005" s="13" t="s">
        <v>2391</v>
      </c>
      <c r="G1005" s="21">
        <v>23</v>
      </c>
      <c r="H1005" s="21">
        <v>0</v>
      </c>
      <c r="I1005" s="21">
        <f t="shared" ref="I1005:I1046" si="962">G1005*AJ1005</f>
        <v>0</v>
      </c>
      <c r="J1005" s="21">
        <f t="shared" ref="J1005:J1046" si="963">G1005*AK1005</f>
        <v>0</v>
      </c>
      <c r="K1005" s="21">
        <f t="shared" ref="K1005:K1046" si="964">G1005*H1005</f>
        <v>0</v>
      </c>
      <c r="L1005" s="21">
        <v>0</v>
      </c>
      <c r="M1005" s="21">
        <f t="shared" ref="M1005:M1046" si="965">G1005*L1005</f>
        <v>0</v>
      </c>
      <c r="N1005" s="35"/>
      <c r="O1005" s="39"/>
      <c r="U1005" s="41">
        <f t="shared" ref="U1005:U1046" si="966">IF(AL1005="5",BE1005,0)</f>
        <v>0</v>
      </c>
      <c r="W1005" s="41">
        <f t="shared" ref="W1005:W1046" si="967">IF(AL1005="1",BC1005,0)</f>
        <v>0</v>
      </c>
      <c r="X1005" s="41">
        <f t="shared" ref="X1005:X1046" si="968">IF(AL1005="1",BD1005,0)</f>
        <v>0</v>
      </c>
      <c r="Y1005" s="41">
        <f t="shared" ref="Y1005:Y1046" si="969">IF(AL1005="7",BC1005,0)</f>
        <v>0</v>
      </c>
      <c r="Z1005" s="41">
        <f t="shared" ref="Z1005:Z1046" si="970">IF(AL1005="7",BD1005,0)</f>
        <v>0</v>
      </c>
      <c r="AA1005" s="41">
        <f t="shared" ref="AA1005:AA1046" si="971">IF(AL1005="2",BC1005,0)</f>
        <v>0</v>
      </c>
      <c r="AB1005" s="41">
        <f t="shared" ref="AB1005:AB1046" si="972">IF(AL1005="2",BD1005,0)</f>
        <v>0</v>
      </c>
      <c r="AC1005" s="41">
        <f t="shared" ref="AC1005:AC1046" si="973">IF(AL1005="0",BE1005,0)</f>
        <v>0</v>
      </c>
      <c r="AD1005" s="31"/>
      <c r="AE1005" s="21">
        <f t="shared" ref="AE1005:AE1046" si="974">IF(AI1005=0,K1005,0)</f>
        <v>0</v>
      </c>
      <c r="AF1005" s="21">
        <f t="shared" ref="AF1005:AF1046" si="975">IF(AI1005=15,K1005,0)</f>
        <v>0</v>
      </c>
      <c r="AG1005" s="21">
        <f t="shared" ref="AG1005:AG1046" si="976">IF(AI1005=21,K1005,0)</f>
        <v>0</v>
      </c>
      <c r="AI1005" s="41">
        <v>21</v>
      </c>
      <c r="AJ1005" s="41">
        <f t="shared" ref="AJ1005:AJ1046" si="977">H1005*0</f>
        <v>0</v>
      </c>
      <c r="AK1005" s="41">
        <f t="shared" ref="AK1005:AK1046" si="978">H1005*(1-0)</f>
        <v>0</v>
      </c>
      <c r="AL1005" s="42" t="s">
        <v>8</v>
      </c>
      <c r="AQ1005" s="41">
        <f t="shared" ref="AQ1005:AQ1046" si="979">AR1005+AS1005</f>
        <v>0</v>
      </c>
      <c r="AR1005" s="41">
        <f t="shared" ref="AR1005:AR1046" si="980">G1005*AJ1005</f>
        <v>0</v>
      </c>
      <c r="AS1005" s="41">
        <f t="shared" ref="AS1005:AS1046" si="981">G1005*AK1005</f>
        <v>0</v>
      </c>
      <c r="AT1005" s="44" t="s">
        <v>2474</v>
      </c>
      <c r="AU1005" s="44" t="s">
        <v>2485</v>
      </c>
      <c r="AV1005" s="31" t="s">
        <v>2486</v>
      </c>
      <c r="AX1005" s="41">
        <f t="shared" ref="AX1005:AX1046" si="982">AR1005+AS1005</f>
        <v>0</v>
      </c>
      <c r="AY1005" s="41">
        <f t="shared" ref="AY1005:AY1046" si="983">H1005/(100-AZ1005)*100</f>
        <v>0</v>
      </c>
      <c r="AZ1005" s="41">
        <v>0</v>
      </c>
      <c r="BA1005" s="41">
        <f t="shared" ref="BA1005:BA1046" si="984">M1005</f>
        <v>0</v>
      </c>
      <c r="BC1005" s="21">
        <f t="shared" ref="BC1005:BC1046" si="985">G1005*AJ1005</f>
        <v>0</v>
      </c>
      <c r="BD1005" s="21">
        <f t="shared" ref="BD1005:BD1046" si="986">G1005*AK1005</f>
        <v>0</v>
      </c>
      <c r="BE1005" s="21">
        <f t="shared" ref="BE1005:BE1046" si="987">G1005*H1005</f>
        <v>0</v>
      </c>
      <c r="BF1005" s="21" t="s">
        <v>2492</v>
      </c>
      <c r="BG1005" s="41" t="s">
        <v>1581</v>
      </c>
    </row>
    <row r="1006" spans="1:59" x14ac:dyDescent="0.3">
      <c r="A1006" s="4" t="s">
        <v>962</v>
      </c>
      <c r="B1006" s="13"/>
      <c r="C1006" s="13" t="s">
        <v>1583</v>
      </c>
      <c r="D1006" s="101" t="s">
        <v>2340</v>
      </c>
      <c r="E1006" s="102"/>
      <c r="F1006" s="13" t="s">
        <v>2391</v>
      </c>
      <c r="G1006" s="21">
        <v>23</v>
      </c>
      <c r="H1006" s="21">
        <v>0</v>
      </c>
      <c r="I1006" s="21">
        <f t="shared" si="962"/>
        <v>0</v>
      </c>
      <c r="J1006" s="21">
        <f t="shared" si="963"/>
        <v>0</v>
      </c>
      <c r="K1006" s="21">
        <f t="shared" si="964"/>
        <v>0</v>
      </c>
      <c r="L1006" s="21">
        <v>0</v>
      </c>
      <c r="M1006" s="21">
        <f t="shared" si="965"/>
        <v>0</v>
      </c>
      <c r="N1006" s="35"/>
      <c r="O1006" s="39"/>
      <c r="U1006" s="41">
        <f t="shared" si="966"/>
        <v>0</v>
      </c>
      <c r="W1006" s="41">
        <f t="shared" si="967"/>
        <v>0</v>
      </c>
      <c r="X1006" s="41">
        <f t="shared" si="968"/>
        <v>0</v>
      </c>
      <c r="Y1006" s="41">
        <f t="shared" si="969"/>
        <v>0</v>
      </c>
      <c r="Z1006" s="41">
        <f t="shared" si="970"/>
        <v>0</v>
      </c>
      <c r="AA1006" s="41">
        <f t="shared" si="971"/>
        <v>0</v>
      </c>
      <c r="AB1006" s="41">
        <f t="shared" si="972"/>
        <v>0</v>
      </c>
      <c r="AC1006" s="41">
        <f t="shared" si="973"/>
        <v>0</v>
      </c>
      <c r="AD1006" s="31"/>
      <c r="AE1006" s="21">
        <f t="shared" si="974"/>
        <v>0</v>
      </c>
      <c r="AF1006" s="21">
        <f t="shared" si="975"/>
        <v>0</v>
      </c>
      <c r="AG1006" s="21">
        <f t="shared" si="976"/>
        <v>0</v>
      </c>
      <c r="AI1006" s="41">
        <v>21</v>
      </c>
      <c r="AJ1006" s="41">
        <f t="shared" si="977"/>
        <v>0</v>
      </c>
      <c r="AK1006" s="41">
        <f t="shared" si="978"/>
        <v>0</v>
      </c>
      <c r="AL1006" s="42" t="s">
        <v>8</v>
      </c>
      <c r="AQ1006" s="41">
        <f t="shared" si="979"/>
        <v>0</v>
      </c>
      <c r="AR1006" s="41">
        <f t="shared" si="980"/>
        <v>0</v>
      </c>
      <c r="AS1006" s="41">
        <f t="shared" si="981"/>
        <v>0</v>
      </c>
      <c r="AT1006" s="44" t="s">
        <v>2474</v>
      </c>
      <c r="AU1006" s="44" t="s">
        <v>2485</v>
      </c>
      <c r="AV1006" s="31" t="s">
        <v>2486</v>
      </c>
      <c r="AX1006" s="41">
        <f t="shared" si="982"/>
        <v>0</v>
      </c>
      <c r="AY1006" s="41">
        <f t="shared" si="983"/>
        <v>0</v>
      </c>
      <c r="AZ1006" s="41">
        <v>0</v>
      </c>
      <c r="BA1006" s="41">
        <f t="shared" si="984"/>
        <v>0</v>
      </c>
      <c r="BC1006" s="21">
        <f t="shared" si="985"/>
        <v>0</v>
      </c>
      <c r="BD1006" s="21">
        <f t="shared" si="986"/>
        <v>0</v>
      </c>
      <c r="BE1006" s="21">
        <f t="shared" si="987"/>
        <v>0</v>
      </c>
      <c r="BF1006" s="21" t="s">
        <v>2492</v>
      </c>
      <c r="BG1006" s="41" t="s">
        <v>1581</v>
      </c>
    </row>
    <row r="1007" spans="1:59" x14ac:dyDescent="0.3">
      <c r="A1007" s="4" t="s">
        <v>963</v>
      </c>
      <c r="B1007" s="13"/>
      <c r="C1007" s="13" t="s">
        <v>1584</v>
      </c>
      <c r="D1007" s="101" t="s">
        <v>2341</v>
      </c>
      <c r="E1007" s="102"/>
      <c r="F1007" s="13" t="s">
        <v>2391</v>
      </c>
      <c r="G1007" s="21">
        <v>31</v>
      </c>
      <c r="H1007" s="21">
        <v>0</v>
      </c>
      <c r="I1007" s="21">
        <f t="shared" si="962"/>
        <v>0</v>
      </c>
      <c r="J1007" s="21">
        <f t="shared" si="963"/>
        <v>0</v>
      </c>
      <c r="K1007" s="21">
        <f t="shared" si="964"/>
        <v>0</v>
      </c>
      <c r="L1007" s="21">
        <v>0</v>
      </c>
      <c r="M1007" s="21">
        <f t="shared" si="965"/>
        <v>0</v>
      </c>
      <c r="N1007" s="35"/>
      <c r="O1007" s="39"/>
      <c r="U1007" s="41">
        <f t="shared" si="966"/>
        <v>0</v>
      </c>
      <c r="W1007" s="41">
        <f t="shared" si="967"/>
        <v>0</v>
      </c>
      <c r="X1007" s="41">
        <f t="shared" si="968"/>
        <v>0</v>
      </c>
      <c r="Y1007" s="41">
        <f t="shared" si="969"/>
        <v>0</v>
      </c>
      <c r="Z1007" s="41">
        <f t="shared" si="970"/>
        <v>0</v>
      </c>
      <c r="AA1007" s="41">
        <f t="shared" si="971"/>
        <v>0</v>
      </c>
      <c r="AB1007" s="41">
        <f t="shared" si="972"/>
        <v>0</v>
      </c>
      <c r="AC1007" s="41">
        <f t="shared" si="973"/>
        <v>0</v>
      </c>
      <c r="AD1007" s="31"/>
      <c r="AE1007" s="21">
        <f t="shared" si="974"/>
        <v>0</v>
      </c>
      <c r="AF1007" s="21">
        <f t="shared" si="975"/>
        <v>0</v>
      </c>
      <c r="AG1007" s="21">
        <f t="shared" si="976"/>
        <v>0</v>
      </c>
      <c r="AI1007" s="41">
        <v>21</v>
      </c>
      <c r="AJ1007" s="41">
        <f t="shared" si="977"/>
        <v>0</v>
      </c>
      <c r="AK1007" s="41">
        <f t="shared" si="978"/>
        <v>0</v>
      </c>
      <c r="AL1007" s="42" t="s">
        <v>8</v>
      </c>
      <c r="AQ1007" s="41">
        <f t="shared" si="979"/>
        <v>0</v>
      </c>
      <c r="AR1007" s="41">
        <f t="shared" si="980"/>
        <v>0</v>
      </c>
      <c r="AS1007" s="41">
        <f t="shared" si="981"/>
        <v>0</v>
      </c>
      <c r="AT1007" s="44" t="s">
        <v>2474</v>
      </c>
      <c r="AU1007" s="44" t="s">
        <v>2485</v>
      </c>
      <c r="AV1007" s="31" t="s">
        <v>2486</v>
      </c>
      <c r="AX1007" s="41">
        <f t="shared" si="982"/>
        <v>0</v>
      </c>
      <c r="AY1007" s="41">
        <f t="shared" si="983"/>
        <v>0</v>
      </c>
      <c r="AZ1007" s="41">
        <v>0</v>
      </c>
      <c r="BA1007" s="41">
        <f t="shared" si="984"/>
        <v>0</v>
      </c>
      <c r="BC1007" s="21">
        <f t="shared" si="985"/>
        <v>0</v>
      </c>
      <c r="BD1007" s="21">
        <f t="shared" si="986"/>
        <v>0</v>
      </c>
      <c r="BE1007" s="21">
        <f t="shared" si="987"/>
        <v>0</v>
      </c>
      <c r="BF1007" s="21" t="s">
        <v>2492</v>
      </c>
      <c r="BG1007" s="41" t="s">
        <v>1581</v>
      </c>
    </row>
    <row r="1008" spans="1:59" x14ac:dyDescent="0.3">
      <c r="A1008" s="4" t="s">
        <v>964</v>
      </c>
      <c r="B1008" s="13"/>
      <c r="C1008" s="13" t="s">
        <v>1585</v>
      </c>
      <c r="D1008" s="101" t="s">
        <v>2342</v>
      </c>
      <c r="E1008" s="102"/>
      <c r="F1008" s="13" t="s">
        <v>2391</v>
      </c>
      <c r="G1008" s="21">
        <v>6</v>
      </c>
      <c r="H1008" s="21">
        <v>0</v>
      </c>
      <c r="I1008" s="21">
        <f t="shared" si="962"/>
        <v>0</v>
      </c>
      <c r="J1008" s="21">
        <f t="shared" si="963"/>
        <v>0</v>
      </c>
      <c r="K1008" s="21">
        <f t="shared" si="964"/>
        <v>0</v>
      </c>
      <c r="L1008" s="21">
        <v>0</v>
      </c>
      <c r="M1008" s="21">
        <f t="shared" si="965"/>
        <v>0</v>
      </c>
      <c r="N1008" s="35"/>
      <c r="O1008" s="39"/>
      <c r="U1008" s="41">
        <f t="shared" si="966"/>
        <v>0</v>
      </c>
      <c r="W1008" s="41">
        <f t="shared" si="967"/>
        <v>0</v>
      </c>
      <c r="X1008" s="41">
        <f t="shared" si="968"/>
        <v>0</v>
      </c>
      <c r="Y1008" s="41">
        <f t="shared" si="969"/>
        <v>0</v>
      </c>
      <c r="Z1008" s="41">
        <f t="shared" si="970"/>
        <v>0</v>
      </c>
      <c r="AA1008" s="41">
        <f t="shared" si="971"/>
        <v>0</v>
      </c>
      <c r="AB1008" s="41">
        <f t="shared" si="972"/>
        <v>0</v>
      </c>
      <c r="AC1008" s="41">
        <f t="shared" si="973"/>
        <v>0</v>
      </c>
      <c r="AD1008" s="31"/>
      <c r="AE1008" s="21">
        <f t="shared" si="974"/>
        <v>0</v>
      </c>
      <c r="AF1008" s="21">
        <f t="shared" si="975"/>
        <v>0</v>
      </c>
      <c r="AG1008" s="21">
        <f t="shared" si="976"/>
        <v>0</v>
      </c>
      <c r="AI1008" s="41">
        <v>21</v>
      </c>
      <c r="AJ1008" s="41">
        <f t="shared" si="977"/>
        <v>0</v>
      </c>
      <c r="AK1008" s="41">
        <f t="shared" si="978"/>
        <v>0</v>
      </c>
      <c r="AL1008" s="42" t="s">
        <v>8</v>
      </c>
      <c r="AQ1008" s="41">
        <f t="shared" si="979"/>
        <v>0</v>
      </c>
      <c r="AR1008" s="41">
        <f t="shared" si="980"/>
        <v>0</v>
      </c>
      <c r="AS1008" s="41">
        <f t="shared" si="981"/>
        <v>0</v>
      </c>
      <c r="AT1008" s="44" t="s">
        <v>2474</v>
      </c>
      <c r="AU1008" s="44" t="s">
        <v>2485</v>
      </c>
      <c r="AV1008" s="31" t="s">
        <v>2486</v>
      </c>
      <c r="AX1008" s="41">
        <f t="shared" si="982"/>
        <v>0</v>
      </c>
      <c r="AY1008" s="41">
        <f t="shared" si="983"/>
        <v>0</v>
      </c>
      <c r="AZ1008" s="41">
        <v>0</v>
      </c>
      <c r="BA1008" s="41">
        <f t="shared" si="984"/>
        <v>0</v>
      </c>
      <c r="BC1008" s="21">
        <f t="shared" si="985"/>
        <v>0</v>
      </c>
      <c r="BD1008" s="21">
        <f t="shared" si="986"/>
        <v>0</v>
      </c>
      <c r="BE1008" s="21">
        <f t="shared" si="987"/>
        <v>0</v>
      </c>
      <c r="BF1008" s="21" t="s">
        <v>2492</v>
      </c>
      <c r="BG1008" s="41" t="s">
        <v>1581</v>
      </c>
    </row>
    <row r="1009" spans="1:59" x14ac:dyDescent="0.3">
      <c r="A1009" s="4" t="s">
        <v>965</v>
      </c>
      <c r="B1009" s="13"/>
      <c r="C1009" s="13" t="s">
        <v>1586</v>
      </c>
      <c r="D1009" s="101" t="s">
        <v>2343</v>
      </c>
      <c r="E1009" s="102"/>
      <c r="F1009" s="13" t="s">
        <v>2391</v>
      </c>
      <c r="G1009" s="21">
        <v>2</v>
      </c>
      <c r="H1009" s="21">
        <v>0</v>
      </c>
      <c r="I1009" s="21">
        <f t="shared" si="962"/>
        <v>0</v>
      </c>
      <c r="J1009" s="21">
        <f t="shared" si="963"/>
        <v>0</v>
      </c>
      <c r="K1009" s="21">
        <f t="shared" si="964"/>
        <v>0</v>
      </c>
      <c r="L1009" s="21">
        <v>0</v>
      </c>
      <c r="M1009" s="21">
        <f t="shared" si="965"/>
        <v>0</v>
      </c>
      <c r="N1009" s="35"/>
      <c r="O1009" s="39"/>
      <c r="U1009" s="41">
        <f t="shared" si="966"/>
        <v>0</v>
      </c>
      <c r="W1009" s="41">
        <f t="shared" si="967"/>
        <v>0</v>
      </c>
      <c r="X1009" s="41">
        <f t="shared" si="968"/>
        <v>0</v>
      </c>
      <c r="Y1009" s="41">
        <f t="shared" si="969"/>
        <v>0</v>
      </c>
      <c r="Z1009" s="41">
        <f t="shared" si="970"/>
        <v>0</v>
      </c>
      <c r="AA1009" s="41">
        <f t="shared" si="971"/>
        <v>0</v>
      </c>
      <c r="AB1009" s="41">
        <f t="shared" si="972"/>
        <v>0</v>
      </c>
      <c r="AC1009" s="41">
        <f t="shared" si="973"/>
        <v>0</v>
      </c>
      <c r="AD1009" s="31"/>
      <c r="AE1009" s="21">
        <f t="shared" si="974"/>
        <v>0</v>
      </c>
      <c r="AF1009" s="21">
        <f t="shared" si="975"/>
        <v>0</v>
      </c>
      <c r="AG1009" s="21">
        <f t="shared" si="976"/>
        <v>0</v>
      </c>
      <c r="AI1009" s="41">
        <v>21</v>
      </c>
      <c r="AJ1009" s="41">
        <f t="shared" si="977"/>
        <v>0</v>
      </c>
      <c r="AK1009" s="41">
        <f t="shared" si="978"/>
        <v>0</v>
      </c>
      <c r="AL1009" s="42" t="s">
        <v>8</v>
      </c>
      <c r="AQ1009" s="41">
        <f t="shared" si="979"/>
        <v>0</v>
      </c>
      <c r="AR1009" s="41">
        <f t="shared" si="980"/>
        <v>0</v>
      </c>
      <c r="AS1009" s="41">
        <f t="shared" si="981"/>
        <v>0</v>
      </c>
      <c r="AT1009" s="44" t="s">
        <v>2474</v>
      </c>
      <c r="AU1009" s="44" t="s">
        <v>2485</v>
      </c>
      <c r="AV1009" s="31" t="s">
        <v>2486</v>
      </c>
      <c r="AX1009" s="41">
        <f t="shared" si="982"/>
        <v>0</v>
      </c>
      <c r="AY1009" s="41">
        <f t="shared" si="983"/>
        <v>0</v>
      </c>
      <c r="AZ1009" s="41">
        <v>0</v>
      </c>
      <c r="BA1009" s="41">
        <f t="shared" si="984"/>
        <v>0</v>
      </c>
      <c r="BC1009" s="21">
        <f t="shared" si="985"/>
        <v>0</v>
      </c>
      <c r="BD1009" s="21">
        <f t="shared" si="986"/>
        <v>0</v>
      </c>
      <c r="BE1009" s="21">
        <f t="shared" si="987"/>
        <v>0</v>
      </c>
      <c r="BF1009" s="21" t="s">
        <v>2492</v>
      </c>
      <c r="BG1009" s="41" t="s">
        <v>1581</v>
      </c>
    </row>
    <row r="1010" spans="1:59" x14ac:dyDescent="0.3">
      <c r="A1010" s="4" t="s">
        <v>966</v>
      </c>
      <c r="B1010" s="13"/>
      <c r="C1010" s="13" t="s">
        <v>1587</v>
      </c>
      <c r="D1010" s="101" t="s">
        <v>2344</v>
      </c>
      <c r="E1010" s="102"/>
      <c r="F1010" s="13" t="s">
        <v>2391</v>
      </c>
      <c r="G1010" s="21">
        <v>48</v>
      </c>
      <c r="H1010" s="21">
        <v>0</v>
      </c>
      <c r="I1010" s="21">
        <f t="shared" si="962"/>
        <v>0</v>
      </c>
      <c r="J1010" s="21">
        <f t="shared" si="963"/>
        <v>0</v>
      </c>
      <c r="K1010" s="21">
        <f t="shared" si="964"/>
        <v>0</v>
      </c>
      <c r="L1010" s="21">
        <v>0</v>
      </c>
      <c r="M1010" s="21">
        <f t="shared" si="965"/>
        <v>0</v>
      </c>
      <c r="N1010" s="35"/>
      <c r="O1010" s="39"/>
      <c r="U1010" s="41">
        <f t="shared" si="966"/>
        <v>0</v>
      </c>
      <c r="W1010" s="41">
        <f t="shared" si="967"/>
        <v>0</v>
      </c>
      <c r="X1010" s="41">
        <f t="shared" si="968"/>
        <v>0</v>
      </c>
      <c r="Y1010" s="41">
        <f t="shared" si="969"/>
        <v>0</v>
      </c>
      <c r="Z1010" s="41">
        <f t="shared" si="970"/>
        <v>0</v>
      </c>
      <c r="AA1010" s="41">
        <f t="shared" si="971"/>
        <v>0</v>
      </c>
      <c r="AB1010" s="41">
        <f t="shared" si="972"/>
        <v>0</v>
      </c>
      <c r="AC1010" s="41">
        <f t="shared" si="973"/>
        <v>0</v>
      </c>
      <c r="AD1010" s="31"/>
      <c r="AE1010" s="21">
        <f t="shared" si="974"/>
        <v>0</v>
      </c>
      <c r="AF1010" s="21">
        <f t="shared" si="975"/>
        <v>0</v>
      </c>
      <c r="AG1010" s="21">
        <f t="shared" si="976"/>
        <v>0</v>
      </c>
      <c r="AI1010" s="41">
        <v>21</v>
      </c>
      <c r="AJ1010" s="41">
        <f t="shared" si="977"/>
        <v>0</v>
      </c>
      <c r="AK1010" s="41">
        <f t="shared" si="978"/>
        <v>0</v>
      </c>
      <c r="AL1010" s="42" t="s">
        <v>8</v>
      </c>
      <c r="AQ1010" s="41">
        <f t="shared" si="979"/>
        <v>0</v>
      </c>
      <c r="AR1010" s="41">
        <f t="shared" si="980"/>
        <v>0</v>
      </c>
      <c r="AS1010" s="41">
        <f t="shared" si="981"/>
        <v>0</v>
      </c>
      <c r="AT1010" s="44" t="s">
        <v>2474</v>
      </c>
      <c r="AU1010" s="44" t="s">
        <v>2485</v>
      </c>
      <c r="AV1010" s="31" t="s">
        <v>2486</v>
      </c>
      <c r="AX1010" s="41">
        <f t="shared" si="982"/>
        <v>0</v>
      </c>
      <c r="AY1010" s="41">
        <f t="shared" si="983"/>
        <v>0</v>
      </c>
      <c r="AZ1010" s="41">
        <v>0</v>
      </c>
      <c r="BA1010" s="41">
        <f t="shared" si="984"/>
        <v>0</v>
      </c>
      <c r="BC1010" s="21">
        <f t="shared" si="985"/>
        <v>0</v>
      </c>
      <c r="BD1010" s="21">
        <f t="shared" si="986"/>
        <v>0</v>
      </c>
      <c r="BE1010" s="21">
        <f t="shared" si="987"/>
        <v>0</v>
      </c>
      <c r="BF1010" s="21" t="s">
        <v>2492</v>
      </c>
      <c r="BG1010" s="41" t="s">
        <v>1581</v>
      </c>
    </row>
    <row r="1011" spans="1:59" x14ac:dyDescent="0.3">
      <c r="A1011" s="4" t="s">
        <v>967</v>
      </c>
      <c r="B1011" s="13"/>
      <c r="C1011" s="13" t="s">
        <v>1588</v>
      </c>
      <c r="D1011" s="101" t="s">
        <v>2345</v>
      </c>
      <c r="E1011" s="102"/>
      <c r="F1011" s="13" t="s">
        <v>2391</v>
      </c>
      <c r="G1011" s="21">
        <v>6</v>
      </c>
      <c r="H1011" s="21">
        <v>0</v>
      </c>
      <c r="I1011" s="21">
        <f t="shared" si="962"/>
        <v>0</v>
      </c>
      <c r="J1011" s="21">
        <f t="shared" si="963"/>
        <v>0</v>
      </c>
      <c r="K1011" s="21">
        <f t="shared" si="964"/>
        <v>0</v>
      </c>
      <c r="L1011" s="21">
        <v>0</v>
      </c>
      <c r="M1011" s="21">
        <f t="shared" si="965"/>
        <v>0</v>
      </c>
      <c r="N1011" s="35"/>
      <c r="O1011" s="39"/>
      <c r="U1011" s="41">
        <f t="shared" si="966"/>
        <v>0</v>
      </c>
      <c r="W1011" s="41">
        <f t="shared" si="967"/>
        <v>0</v>
      </c>
      <c r="X1011" s="41">
        <f t="shared" si="968"/>
        <v>0</v>
      </c>
      <c r="Y1011" s="41">
        <f t="shared" si="969"/>
        <v>0</v>
      </c>
      <c r="Z1011" s="41">
        <f t="shared" si="970"/>
        <v>0</v>
      </c>
      <c r="AA1011" s="41">
        <f t="shared" si="971"/>
        <v>0</v>
      </c>
      <c r="AB1011" s="41">
        <f t="shared" si="972"/>
        <v>0</v>
      </c>
      <c r="AC1011" s="41">
        <f t="shared" si="973"/>
        <v>0</v>
      </c>
      <c r="AD1011" s="31"/>
      <c r="AE1011" s="21">
        <f t="shared" si="974"/>
        <v>0</v>
      </c>
      <c r="AF1011" s="21">
        <f t="shared" si="975"/>
        <v>0</v>
      </c>
      <c r="AG1011" s="21">
        <f t="shared" si="976"/>
        <v>0</v>
      </c>
      <c r="AI1011" s="41">
        <v>21</v>
      </c>
      <c r="AJ1011" s="41">
        <f t="shared" si="977"/>
        <v>0</v>
      </c>
      <c r="AK1011" s="41">
        <f t="shared" si="978"/>
        <v>0</v>
      </c>
      <c r="AL1011" s="42" t="s">
        <v>8</v>
      </c>
      <c r="AQ1011" s="41">
        <f t="shared" si="979"/>
        <v>0</v>
      </c>
      <c r="AR1011" s="41">
        <f t="shared" si="980"/>
        <v>0</v>
      </c>
      <c r="AS1011" s="41">
        <f t="shared" si="981"/>
        <v>0</v>
      </c>
      <c r="AT1011" s="44" t="s">
        <v>2474</v>
      </c>
      <c r="AU1011" s="44" t="s">
        <v>2485</v>
      </c>
      <c r="AV1011" s="31" t="s">
        <v>2486</v>
      </c>
      <c r="AX1011" s="41">
        <f t="shared" si="982"/>
        <v>0</v>
      </c>
      <c r="AY1011" s="41">
        <f t="shared" si="983"/>
        <v>0</v>
      </c>
      <c r="AZ1011" s="41">
        <v>0</v>
      </c>
      <c r="BA1011" s="41">
        <f t="shared" si="984"/>
        <v>0</v>
      </c>
      <c r="BC1011" s="21">
        <f t="shared" si="985"/>
        <v>0</v>
      </c>
      <c r="BD1011" s="21">
        <f t="shared" si="986"/>
        <v>0</v>
      </c>
      <c r="BE1011" s="21">
        <f t="shared" si="987"/>
        <v>0</v>
      </c>
      <c r="BF1011" s="21" t="s">
        <v>2492</v>
      </c>
      <c r="BG1011" s="41" t="s">
        <v>1581</v>
      </c>
    </row>
    <row r="1012" spans="1:59" x14ac:dyDescent="0.3">
      <c r="A1012" s="4" t="s">
        <v>968</v>
      </c>
      <c r="B1012" s="13"/>
      <c r="C1012" s="13" t="s">
        <v>1589</v>
      </c>
      <c r="D1012" s="101" t="s">
        <v>2346</v>
      </c>
      <c r="E1012" s="102"/>
      <c r="F1012" s="13" t="s">
        <v>2391</v>
      </c>
      <c r="G1012" s="21">
        <v>22</v>
      </c>
      <c r="H1012" s="21">
        <v>0</v>
      </c>
      <c r="I1012" s="21">
        <f t="shared" si="962"/>
        <v>0</v>
      </c>
      <c r="J1012" s="21">
        <f t="shared" si="963"/>
        <v>0</v>
      </c>
      <c r="K1012" s="21">
        <f t="shared" si="964"/>
        <v>0</v>
      </c>
      <c r="L1012" s="21">
        <v>0</v>
      </c>
      <c r="M1012" s="21">
        <f t="shared" si="965"/>
        <v>0</v>
      </c>
      <c r="N1012" s="35"/>
      <c r="O1012" s="39"/>
      <c r="U1012" s="41">
        <f t="shared" si="966"/>
        <v>0</v>
      </c>
      <c r="W1012" s="41">
        <f t="shared" si="967"/>
        <v>0</v>
      </c>
      <c r="X1012" s="41">
        <f t="shared" si="968"/>
        <v>0</v>
      </c>
      <c r="Y1012" s="41">
        <f t="shared" si="969"/>
        <v>0</v>
      </c>
      <c r="Z1012" s="41">
        <f t="shared" si="970"/>
        <v>0</v>
      </c>
      <c r="AA1012" s="41">
        <f t="shared" si="971"/>
        <v>0</v>
      </c>
      <c r="AB1012" s="41">
        <f t="shared" si="972"/>
        <v>0</v>
      </c>
      <c r="AC1012" s="41">
        <f t="shared" si="973"/>
        <v>0</v>
      </c>
      <c r="AD1012" s="31"/>
      <c r="AE1012" s="21">
        <f t="shared" si="974"/>
        <v>0</v>
      </c>
      <c r="AF1012" s="21">
        <f t="shared" si="975"/>
        <v>0</v>
      </c>
      <c r="AG1012" s="21">
        <f t="shared" si="976"/>
        <v>0</v>
      </c>
      <c r="AI1012" s="41">
        <v>21</v>
      </c>
      <c r="AJ1012" s="41">
        <f t="shared" si="977"/>
        <v>0</v>
      </c>
      <c r="AK1012" s="41">
        <f t="shared" si="978"/>
        <v>0</v>
      </c>
      <c r="AL1012" s="42" t="s">
        <v>8</v>
      </c>
      <c r="AQ1012" s="41">
        <f t="shared" si="979"/>
        <v>0</v>
      </c>
      <c r="AR1012" s="41">
        <f t="shared" si="980"/>
        <v>0</v>
      </c>
      <c r="AS1012" s="41">
        <f t="shared" si="981"/>
        <v>0</v>
      </c>
      <c r="AT1012" s="44" t="s">
        <v>2474</v>
      </c>
      <c r="AU1012" s="44" t="s">
        <v>2485</v>
      </c>
      <c r="AV1012" s="31" t="s">
        <v>2486</v>
      </c>
      <c r="AX1012" s="41">
        <f t="shared" si="982"/>
        <v>0</v>
      </c>
      <c r="AY1012" s="41">
        <f t="shared" si="983"/>
        <v>0</v>
      </c>
      <c r="AZ1012" s="41">
        <v>0</v>
      </c>
      <c r="BA1012" s="41">
        <f t="shared" si="984"/>
        <v>0</v>
      </c>
      <c r="BC1012" s="21">
        <f t="shared" si="985"/>
        <v>0</v>
      </c>
      <c r="BD1012" s="21">
        <f t="shared" si="986"/>
        <v>0</v>
      </c>
      <c r="BE1012" s="21">
        <f t="shared" si="987"/>
        <v>0</v>
      </c>
      <c r="BF1012" s="21" t="s">
        <v>2492</v>
      </c>
      <c r="BG1012" s="41" t="s">
        <v>1581</v>
      </c>
    </row>
    <row r="1013" spans="1:59" x14ac:dyDescent="0.3">
      <c r="A1013" s="4" t="s">
        <v>969</v>
      </c>
      <c r="B1013" s="13"/>
      <c r="C1013" s="13" t="s">
        <v>1590</v>
      </c>
      <c r="D1013" s="101" t="s">
        <v>2347</v>
      </c>
      <c r="E1013" s="102"/>
      <c r="F1013" s="13" t="s">
        <v>2391</v>
      </c>
      <c r="G1013" s="21">
        <v>4</v>
      </c>
      <c r="H1013" s="21">
        <v>0</v>
      </c>
      <c r="I1013" s="21">
        <f t="shared" si="962"/>
        <v>0</v>
      </c>
      <c r="J1013" s="21">
        <f t="shared" si="963"/>
        <v>0</v>
      </c>
      <c r="K1013" s="21">
        <f t="shared" si="964"/>
        <v>0</v>
      </c>
      <c r="L1013" s="21">
        <v>0</v>
      </c>
      <c r="M1013" s="21">
        <f t="shared" si="965"/>
        <v>0</v>
      </c>
      <c r="N1013" s="35"/>
      <c r="O1013" s="39"/>
      <c r="U1013" s="41">
        <f t="shared" si="966"/>
        <v>0</v>
      </c>
      <c r="W1013" s="41">
        <f t="shared" si="967"/>
        <v>0</v>
      </c>
      <c r="X1013" s="41">
        <f t="shared" si="968"/>
        <v>0</v>
      </c>
      <c r="Y1013" s="41">
        <f t="shared" si="969"/>
        <v>0</v>
      </c>
      <c r="Z1013" s="41">
        <f t="shared" si="970"/>
        <v>0</v>
      </c>
      <c r="AA1013" s="41">
        <f t="shared" si="971"/>
        <v>0</v>
      </c>
      <c r="AB1013" s="41">
        <f t="shared" si="972"/>
        <v>0</v>
      </c>
      <c r="AC1013" s="41">
        <f t="shared" si="973"/>
        <v>0</v>
      </c>
      <c r="AD1013" s="31"/>
      <c r="AE1013" s="21">
        <f t="shared" si="974"/>
        <v>0</v>
      </c>
      <c r="AF1013" s="21">
        <f t="shared" si="975"/>
        <v>0</v>
      </c>
      <c r="AG1013" s="21">
        <f t="shared" si="976"/>
        <v>0</v>
      </c>
      <c r="AI1013" s="41">
        <v>21</v>
      </c>
      <c r="AJ1013" s="41">
        <f t="shared" si="977"/>
        <v>0</v>
      </c>
      <c r="AK1013" s="41">
        <f t="shared" si="978"/>
        <v>0</v>
      </c>
      <c r="AL1013" s="42" t="s">
        <v>8</v>
      </c>
      <c r="AQ1013" s="41">
        <f t="shared" si="979"/>
        <v>0</v>
      </c>
      <c r="AR1013" s="41">
        <f t="shared" si="980"/>
        <v>0</v>
      </c>
      <c r="AS1013" s="41">
        <f t="shared" si="981"/>
        <v>0</v>
      </c>
      <c r="AT1013" s="44" t="s">
        <v>2474</v>
      </c>
      <c r="AU1013" s="44" t="s">
        <v>2485</v>
      </c>
      <c r="AV1013" s="31" t="s">
        <v>2486</v>
      </c>
      <c r="AX1013" s="41">
        <f t="shared" si="982"/>
        <v>0</v>
      </c>
      <c r="AY1013" s="41">
        <f t="shared" si="983"/>
        <v>0</v>
      </c>
      <c r="AZ1013" s="41">
        <v>0</v>
      </c>
      <c r="BA1013" s="41">
        <f t="shared" si="984"/>
        <v>0</v>
      </c>
      <c r="BC1013" s="21">
        <f t="shared" si="985"/>
        <v>0</v>
      </c>
      <c r="BD1013" s="21">
        <f t="shared" si="986"/>
        <v>0</v>
      </c>
      <c r="BE1013" s="21">
        <f t="shared" si="987"/>
        <v>0</v>
      </c>
      <c r="BF1013" s="21" t="s">
        <v>2492</v>
      </c>
      <c r="BG1013" s="41" t="s">
        <v>1581</v>
      </c>
    </row>
    <row r="1014" spans="1:59" x14ac:dyDescent="0.3">
      <c r="A1014" s="4" t="s">
        <v>970</v>
      </c>
      <c r="B1014" s="13"/>
      <c r="C1014" s="13" t="s">
        <v>1591</v>
      </c>
      <c r="D1014" s="101" t="s">
        <v>2348</v>
      </c>
      <c r="E1014" s="102"/>
      <c r="F1014" s="13" t="s">
        <v>2391</v>
      </c>
      <c r="G1014" s="21">
        <v>45</v>
      </c>
      <c r="H1014" s="21">
        <v>0</v>
      </c>
      <c r="I1014" s="21">
        <f t="shared" si="962"/>
        <v>0</v>
      </c>
      <c r="J1014" s="21">
        <f t="shared" si="963"/>
        <v>0</v>
      </c>
      <c r="K1014" s="21">
        <f t="shared" si="964"/>
        <v>0</v>
      </c>
      <c r="L1014" s="21">
        <v>0</v>
      </c>
      <c r="M1014" s="21">
        <f t="shared" si="965"/>
        <v>0</v>
      </c>
      <c r="N1014" s="35"/>
      <c r="O1014" s="39"/>
      <c r="U1014" s="41">
        <f t="shared" si="966"/>
        <v>0</v>
      </c>
      <c r="W1014" s="41">
        <f t="shared" si="967"/>
        <v>0</v>
      </c>
      <c r="X1014" s="41">
        <f t="shared" si="968"/>
        <v>0</v>
      </c>
      <c r="Y1014" s="41">
        <f t="shared" si="969"/>
        <v>0</v>
      </c>
      <c r="Z1014" s="41">
        <f t="shared" si="970"/>
        <v>0</v>
      </c>
      <c r="AA1014" s="41">
        <f t="shared" si="971"/>
        <v>0</v>
      </c>
      <c r="AB1014" s="41">
        <f t="shared" si="972"/>
        <v>0</v>
      </c>
      <c r="AC1014" s="41">
        <f t="shared" si="973"/>
        <v>0</v>
      </c>
      <c r="AD1014" s="31"/>
      <c r="AE1014" s="21">
        <f t="shared" si="974"/>
        <v>0</v>
      </c>
      <c r="AF1014" s="21">
        <f t="shared" si="975"/>
        <v>0</v>
      </c>
      <c r="AG1014" s="21">
        <f t="shared" si="976"/>
        <v>0</v>
      </c>
      <c r="AI1014" s="41">
        <v>21</v>
      </c>
      <c r="AJ1014" s="41">
        <f t="shared" si="977"/>
        <v>0</v>
      </c>
      <c r="AK1014" s="41">
        <f t="shared" si="978"/>
        <v>0</v>
      </c>
      <c r="AL1014" s="42" t="s">
        <v>8</v>
      </c>
      <c r="AQ1014" s="41">
        <f t="shared" si="979"/>
        <v>0</v>
      </c>
      <c r="AR1014" s="41">
        <f t="shared" si="980"/>
        <v>0</v>
      </c>
      <c r="AS1014" s="41">
        <f t="shared" si="981"/>
        <v>0</v>
      </c>
      <c r="AT1014" s="44" t="s">
        <v>2474</v>
      </c>
      <c r="AU1014" s="44" t="s">
        <v>2485</v>
      </c>
      <c r="AV1014" s="31" t="s">
        <v>2486</v>
      </c>
      <c r="AX1014" s="41">
        <f t="shared" si="982"/>
        <v>0</v>
      </c>
      <c r="AY1014" s="41">
        <f t="shared" si="983"/>
        <v>0</v>
      </c>
      <c r="AZ1014" s="41">
        <v>0</v>
      </c>
      <c r="BA1014" s="41">
        <f t="shared" si="984"/>
        <v>0</v>
      </c>
      <c r="BC1014" s="21">
        <f t="shared" si="985"/>
        <v>0</v>
      </c>
      <c r="BD1014" s="21">
        <f t="shared" si="986"/>
        <v>0</v>
      </c>
      <c r="BE1014" s="21">
        <f t="shared" si="987"/>
        <v>0</v>
      </c>
      <c r="BF1014" s="21" t="s">
        <v>2492</v>
      </c>
      <c r="BG1014" s="41" t="s">
        <v>1581</v>
      </c>
    </row>
    <row r="1015" spans="1:59" x14ac:dyDescent="0.3">
      <c r="A1015" s="4" t="s">
        <v>971</v>
      </c>
      <c r="B1015" s="13"/>
      <c r="C1015" s="13" t="s">
        <v>1592</v>
      </c>
      <c r="D1015" s="101" t="s">
        <v>2349</v>
      </c>
      <c r="E1015" s="102"/>
      <c r="F1015" s="13" t="s">
        <v>2391</v>
      </c>
      <c r="G1015" s="21">
        <v>12</v>
      </c>
      <c r="H1015" s="21">
        <v>0</v>
      </c>
      <c r="I1015" s="21">
        <f t="shared" si="962"/>
        <v>0</v>
      </c>
      <c r="J1015" s="21">
        <f t="shared" si="963"/>
        <v>0</v>
      </c>
      <c r="K1015" s="21">
        <f t="shared" si="964"/>
        <v>0</v>
      </c>
      <c r="L1015" s="21">
        <v>0</v>
      </c>
      <c r="M1015" s="21">
        <f t="shared" si="965"/>
        <v>0</v>
      </c>
      <c r="N1015" s="35"/>
      <c r="O1015" s="39"/>
      <c r="U1015" s="41">
        <f t="shared" si="966"/>
        <v>0</v>
      </c>
      <c r="W1015" s="41">
        <f t="shared" si="967"/>
        <v>0</v>
      </c>
      <c r="X1015" s="41">
        <f t="shared" si="968"/>
        <v>0</v>
      </c>
      <c r="Y1015" s="41">
        <f t="shared" si="969"/>
        <v>0</v>
      </c>
      <c r="Z1015" s="41">
        <f t="shared" si="970"/>
        <v>0</v>
      </c>
      <c r="AA1015" s="41">
        <f t="shared" si="971"/>
        <v>0</v>
      </c>
      <c r="AB1015" s="41">
        <f t="shared" si="972"/>
        <v>0</v>
      </c>
      <c r="AC1015" s="41">
        <f t="shared" si="973"/>
        <v>0</v>
      </c>
      <c r="AD1015" s="31"/>
      <c r="AE1015" s="21">
        <f t="shared" si="974"/>
        <v>0</v>
      </c>
      <c r="AF1015" s="21">
        <f t="shared" si="975"/>
        <v>0</v>
      </c>
      <c r="AG1015" s="21">
        <f t="shared" si="976"/>
        <v>0</v>
      </c>
      <c r="AI1015" s="41">
        <v>21</v>
      </c>
      <c r="AJ1015" s="41">
        <f t="shared" si="977"/>
        <v>0</v>
      </c>
      <c r="AK1015" s="41">
        <f t="shared" si="978"/>
        <v>0</v>
      </c>
      <c r="AL1015" s="42" t="s">
        <v>8</v>
      </c>
      <c r="AQ1015" s="41">
        <f t="shared" si="979"/>
        <v>0</v>
      </c>
      <c r="AR1015" s="41">
        <f t="shared" si="980"/>
        <v>0</v>
      </c>
      <c r="AS1015" s="41">
        <f t="shared" si="981"/>
        <v>0</v>
      </c>
      <c r="AT1015" s="44" t="s">
        <v>2474</v>
      </c>
      <c r="AU1015" s="44" t="s">
        <v>2485</v>
      </c>
      <c r="AV1015" s="31" t="s">
        <v>2486</v>
      </c>
      <c r="AX1015" s="41">
        <f t="shared" si="982"/>
        <v>0</v>
      </c>
      <c r="AY1015" s="41">
        <f t="shared" si="983"/>
        <v>0</v>
      </c>
      <c r="AZ1015" s="41">
        <v>0</v>
      </c>
      <c r="BA1015" s="41">
        <f t="shared" si="984"/>
        <v>0</v>
      </c>
      <c r="BC1015" s="21">
        <f t="shared" si="985"/>
        <v>0</v>
      </c>
      <c r="BD1015" s="21">
        <f t="shared" si="986"/>
        <v>0</v>
      </c>
      <c r="BE1015" s="21">
        <f t="shared" si="987"/>
        <v>0</v>
      </c>
      <c r="BF1015" s="21" t="s">
        <v>2492</v>
      </c>
      <c r="BG1015" s="41" t="s">
        <v>1581</v>
      </c>
    </row>
    <row r="1016" spans="1:59" x14ac:dyDescent="0.3">
      <c r="A1016" s="4" t="s">
        <v>972</v>
      </c>
      <c r="B1016" s="13"/>
      <c r="C1016" s="13" t="s">
        <v>1593</v>
      </c>
      <c r="D1016" s="101" t="s">
        <v>2350</v>
      </c>
      <c r="E1016" s="102"/>
      <c r="F1016" s="13" t="s">
        <v>2391</v>
      </c>
      <c r="G1016" s="21">
        <v>30</v>
      </c>
      <c r="H1016" s="21">
        <v>0</v>
      </c>
      <c r="I1016" s="21">
        <f t="shared" si="962"/>
        <v>0</v>
      </c>
      <c r="J1016" s="21">
        <f t="shared" si="963"/>
        <v>0</v>
      </c>
      <c r="K1016" s="21">
        <f t="shared" si="964"/>
        <v>0</v>
      </c>
      <c r="L1016" s="21">
        <v>0</v>
      </c>
      <c r="M1016" s="21">
        <f t="shared" si="965"/>
        <v>0</v>
      </c>
      <c r="N1016" s="35"/>
      <c r="O1016" s="39"/>
      <c r="U1016" s="41">
        <f t="shared" si="966"/>
        <v>0</v>
      </c>
      <c r="W1016" s="41">
        <f t="shared" si="967"/>
        <v>0</v>
      </c>
      <c r="X1016" s="41">
        <f t="shared" si="968"/>
        <v>0</v>
      </c>
      <c r="Y1016" s="41">
        <f t="shared" si="969"/>
        <v>0</v>
      </c>
      <c r="Z1016" s="41">
        <f t="shared" si="970"/>
        <v>0</v>
      </c>
      <c r="AA1016" s="41">
        <f t="shared" si="971"/>
        <v>0</v>
      </c>
      <c r="AB1016" s="41">
        <f t="shared" si="972"/>
        <v>0</v>
      </c>
      <c r="AC1016" s="41">
        <f t="shared" si="973"/>
        <v>0</v>
      </c>
      <c r="AD1016" s="31"/>
      <c r="AE1016" s="21">
        <f t="shared" si="974"/>
        <v>0</v>
      </c>
      <c r="AF1016" s="21">
        <f t="shared" si="975"/>
        <v>0</v>
      </c>
      <c r="AG1016" s="21">
        <f t="shared" si="976"/>
        <v>0</v>
      </c>
      <c r="AI1016" s="41">
        <v>21</v>
      </c>
      <c r="AJ1016" s="41">
        <f t="shared" si="977"/>
        <v>0</v>
      </c>
      <c r="AK1016" s="41">
        <f t="shared" si="978"/>
        <v>0</v>
      </c>
      <c r="AL1016" s="42" t="s">
        <v>8</v>
      </c>
      <c r="AQ1016" s="41">
        <f t="shared" si="979"/>
        <v>0</v>
      </c>
      <c r="AR1016" s="41">
        <f t="shared" si="980"/>
        <v>0</v>
      </c>
      <c r="AS1016" s="41">
        <f t="shared" si="981"/>
        <v>0</v>
      </c>
      <c r="AT1016" s="44" t="s">
        <v>2474</v>
      </c>
      <c r="AU1016" s="44" t="s">
        <v>2485</v>
      </c>
      <c r="AV1016" s="31" t="s">
        <v>2486</v>
      </c>
      <c r="AX1016" s="41">
        <f t="shared" si="982"/>
        <v>0</v>
      </c>
      <c r="AY1016" s="41">
        <f t="shared" si="983"/>
        <v>0</v>
      </c>
      <c r="AZ1016" s="41">
        <v>0</v>
      </c>
      <c r="BA1016" s="41">
        <f t="shared" si="984"/>
        <v>0</v>
      </c>
      <c r="BC1016" s="21">
        <f t="shared" si="985"/>
        <v>0</v>
      </c>
      <c r="BD1016" s="21">
        <f t="shared" si="986"/>
        <v>0</v>
      </c>
      <c r="BE1016" s="21">
        <f t="shared" si="987"/>
        <v>0</v>
      </c>
      <c r="BF1016" s="21" t="s">
        <v>2492</v>
      </c>
      <c r="BG1016" s="41" t="s">
        <v>1581</v>
      </c>
    </row>
    <row r="1017" spans="1:59" x14ac:dyDescent="0.3">
      <c r="A1017" s="4" t="s">
        <v>973</v>
      </c>
      <c r="B1017" s="13"/>
      <c r="C1017" s="13" t="s">
        <v>1594</v>
      </c>
      <c r="D1017" s="101" t="s">
        <v>2351</v>
      </c>
      <c r="E1017" s="102"/>
      <c r="F1017" s="13" t="s">
        <v>2385</v>
      </c>
      <c r="G1017" s="21">
        <v>1450</v>
      </c>
      <c r="H1017" s="21">
        <v>0</v>
      </c>
      <c r="I1017" s="21">
        <f t="shared" si="962"/>
        <v>0</v>
      </c>
      <c r="J1017" s="21">
        <f t="shared" si="963"/>
        <v>0</v>
      </c>
      <c r="K1017" s="21">
        <f t="shared" si="964"/>
        <v>0</v>
      </c>
      <c r="L1017" s="21">
        <v>0</v>
      </c>
      <c r="M1017" s="21">
        <f t="shared" si="965"/>
        <v>0</v>
      </c>
      <c r="N1017" s="35"/>
      <c r="O1017" s="39"/>
      <c r="U1017" s="41">
        <f t="shared" si="966"/>
        <v>0</v>
      </c>
      <c r="W1017" s="41">
        <f t="shared" si="967"/>
        <v>0</v>
      </c>
      <c r="X1017" s="41">
        <f t="shared" si="968"/>
        <v>0</v>
      </c>
      <c r="Y1017" s="41">
        <f t="shared" si="969"/>
        <v>0</v>
      </c>
      <c r="Z1017" s="41">
        <f t="shared" si="970"/>
        <v>0</v>
      </c>
      <c r="AA1017" s="41">
        <f t="shared" si="971"/>
        <v>0</v>
      </c>
      <c r="AB1017" s="41">
        <f t="shared" si="972"/>
        <v>0</v>
      </c>
      <c r="AC1017" s="41">
        <f t="shared" si="973"/>
        <v>0</v>
      </c>
      <c r="AD1017" s="31"/>
      <c r="AE1017" s="21">
        <f t="shared" si="974"/>
        <v>0</v>
      </c>
      <c r="AF1017" s="21">
        <f t="shared" si="975"/>
        <v>0</v>
      </c>
      <c r="AG1017" s="21">
        <f t="shared" si="976"/>
        <v>0</v>
      </c>
      <c r="AI1017" s="41">
        <v>21</v>
      </c>
      <c r="AJ1017" s="41">
        <f t="shared" si="977"/>
        <v>0</v>
      </c>
      <c r="AK1017" s="41">
        <f t="shared" si="978"/>
        <v>0</v>
      </c>
      <c r="AL1017" s="42" t="s">
        <v>8</v>
      </c>
      <c r="AQ1017" s="41">
        <f t="shared" si="979"/>
        <v>0</v>
      </c>
      <c r="AR1017" s="41">
        <f t="shared" si="980"/>
        <v>0</v>
      </c>
      <c r="AS1017" s="41">
        <f t="shared" si="981"/>
        <v>0</v>
      </c>
      <c r="AT1017" s="44" t="s">
        <v>2474</v>
      </c>
      <c r="AU1017" s="44" t="s">
        <v>2485</v>
      </c>
      <c r="AV1017" s="31" t="s">
        <v>2486</v>
      </c>
      <c r="AX1017" s="41">
        <f t="shared" si="982"/>
        <v>0</v>
      </c>
      <c r="AY1017" s="41">
        <f t="shared" si="983"/>
        <v>0</v>
      </c>
      <c r="AZ1017" s="41">
        <v>0</v>
      </c>
      <c r="BA1017" s="41">
        <f t="shared" si="984"/>
        <v>0</v>
      </c>
      <c r="BC1017" s="21">
        <f t="shared" si="985"/>
        <v>0</v>
      </c>
      <c r="BD1017" s="21">
        <f t="shared" si="986"/>
        <v>0</v>
      </c>
      <c r="BE1017" s="21">
        <f t="shared" si="987"/>
        <v>0</v>
      </c>
      <c r="BF1017" s="21" t="s">
        <v>2492</v>
      </c>
      <c r="BG1017" s="41" t="s">
        <v>1581</v>
      </c>
    </row>
    <row r="1018" spans="1:59" x14ac:dyDescent="0.3">
      <c r="A1018" s="4" t="s">
        <v>974</v>
      </c>
      <c r="B1018" s="13"/>
      <c r="C1018" s="13" t="s">
        <v>1595</v>
      </c>
      <c r="D1018" s="101" t="s">
        <v>2352</v>
      </c>
      <c r="E1018" s="102"/>
      <c r="F1018" s="13" t="s">
        <v>2385</v>
      </c>
      <c r="G1018" s="21">
        <v>850</v>
      </c>
      <c r="H1018" s="21">
        <v>0</v>
      </c>
      <c r="I1018" s="21">
        <f t="shared" si="962"/>
        <v>0</v>
      </c>
      <c r="J1018" s="21">
        <f t="shared" si="963"/>
        <v>0</v>
      </c>
      <c r="K1018" s="21">
        <f t="shared" si="964"/>
        <v>0</v>
      </c>
      <c r="L1018" s="21">
        <v>0</v>
      </c>
      <c r="M1018" s="21">
        <f t="shared" si="965"/>
        <v>0</v>
      </c>
      <c r="N1018" s="35"/>
      <c r="O1018" s="39"/>
      <c r="U1018" s="41">
        <f t="shared" si="966"/>
        <v>0</v>
      </c>
      <c r="W1018" s="41">
        <f t="shared" si="967"/>
        <v>0</v>
      </c>
      <c r="X1018" s="41">
        <f t="shared" si="968"/>
        <v>0</v>
      </c>
      <c r="Y1018" s="41">
        <f t="shared" si="969"/>
        <v>0</v>
      </c>
      <c r="Z1018" s="41">
        <f t="shared" si="970"/>
        <v>0</v>
      </c>
      <c r="AA1018" s="41">
        <f t="shared" si="971"/>
        <v>0</v>
      </c>
      <c r="AB1018" s="41">
        <f t="shared" si="972"/>
        <v>0</v>
      </c>
      <c r="AC1018" s="41">
        <f t="shared" si="973"/>
        <v>0</v>
      </c>
      <c r="AD1018" s="31"/>
      <c r="AE1018" s="21">
        <f t="shared" si="974"/>
        <v>0</v>
      </c>
      <c r="AF1018" s="21">
        <f t="shared" si="975"/>
        <v>0</v>
      </c>
      <c r="AG1018" s="21">
        <f t="shared" si="976"/>
        <v>0</v>
      </c>
      <c r="AI1018" s="41">
        <v>21</v>
      </c>
      <c r="AJ1018" s="41">
        <f t="shared" si="977"/>
        <v>0</v>
      </c>
      <c r="AK1018" s="41">
        <f t="shared" si="978"/>
        <v>0</v>
      </c>
      <c r="AL1018" s="42" t="s">
        <v>8</v>
      </c>
      <c r="AQ1018" s="41">
        <f t="shared" si="979"/>
        <v>0</v>
      </c>
      <c r="AR1018" s="41">
        <f t="shared" si="980"/>
        <v>0</v>
      </c>
      <c r="AS1018" s="41">
        <f t="shared" si="981"/>
        <v>0</v>
      </c>
      <c r="AT1018" s="44" t="s">
        <v>2474</v>
      </c>
      <c r="AU1018" s="44" t="s">
        <v>2485</v>
      </c>
      <c r="AV1018" s="31" t="s">
        <v>2486</v>
      </c>
      <c r="AX1018" s="41">
        <f t="shared" si="982"/>
        <v>0</v>
      </c>
      <c r="AY1018" s="41">
        <f t="shared" si="983"/>
        <v>0</v>
      </c>
      <c r="AZ1018" s="41">
        <v>0</v>
      </c>
      <c r="BA1018" s="41">
        <f t="shared" si="984"/>
        <v>0</v>
      </c>
      <c r="BC1018" s="21">
        <f t="shared" si="985"/>
        <v>0</v>
      </c>
      <c r="BD1018" s="21">
        <f t="shared" si="986"/>
        <v>0</v>
      </c>
      <c r="BE1018" s="21">
        <f t="shared" si="987"/>
        <v>0</v>
      </c>
      <c r="BF1018" s="21" t="s">
        <v>2492</v>
      </c>
      <c r="BG1018" s="41" t="s">
        <v>1581</v>
      </c>
    </row>
    <row r="1019" spans="1:59" x14ac:dyDescent="0.3">
      <c r="A1019" s="4" t="s">
        <v>975</v>
      </c>
      <c r="B1019" s="13"/>
      <c r="C1019" s="13" t="s">
        <v>1596</v>
      </c>
      <c r="D1019" s="101" t="s">
        <v>2353</v>
      </c>
      <c r="E1019" s="102"/>
      <c r="F1019" s="13" t="s">
        <v>2385</v>
      </c>
      <c r="G1019" s="21">
        <v>550</v>
      </c>
      <c r="H1019" s="21">
        <v>0</v>
      </c>
      <c r="I1019" s="21">
        <f t="shared" si="962"/>
        <v>0</v>
      </c>
      <c r="J1019" s="21">
        <f t="shared" si="963"/>
        <v>0</v>
      </c>
      <c r="K1019" s="21">
        <f t="shared" si="964"/>
        <v>0</v>
      </c>
      <c r="L1019" s="21">
        <v>0</v>
      </c>
      <c r="M1019" s="21">
        <f t="shared" si="965"/>
        <v>0</v>
      </c>
      <c r="N1019" s="35"/>
      <c r="O1019" s="39"/>
      <c r="U1019" s="41">
        <f t="shared" si="966"/>
        <v>0</v>
      </c>
      <c r="W1019" s="41">
        <f t="shared" si="967"/>
        <v>0</v>
      </c>
      <c r="X1019" s="41">
        <f t="shared" si="968"/>
        <v>0</v>
      </c>
      <c r="Y1019" s="41">
        <f t="shared" si="969"/>
        <v>0</v>
      </c>
      <c r="Z1019" s="41">
        <f t="shared" si="970"/>
        <v>0</v>
      </c>
      <c r="AA1019" s="41">
        <f t="shared" si="971"/>
        <v>0</v>
      </c>
      <c r="AB1019" s="41">
        <f t="shared" si="972"/>
        <v>0</v>
      </c>
      <c r="AC1019" s="41">
        <f t="shared" si="973"/>
        <v>0</v>
      </c>
      <c r="AD1019" s="31"/>
      <c r="AE1019" s="21">
        <f t="shared" si="974"/>
        <v>0</v>
      </c>
      <c r="AF1019" s="21">
        <f t="shared" si="975"/>
        <v>0</v>
      </c>
      <c r="AG1019" s="21">
        <f t="shared" si="976"/>
        <v>0</v>
      </c>
      <c r="AI1019" s="41">
        <v>21</v>
      </c>
      <c r="AJ1019" s="41">
        <f t="shared" si="977"/>
        <v>0</v>
      </c>
      <c r="AK1019" s="41">
        <f t="shared" si="978"/>
        <v>0</v>
      </c>
      <c r="AL1019" s="42" t="s">
        <v>8</v>
      </c>
      <c r="AQ1019" s="41">
        <f t="shared" si="979"/>
        <v>0</v>
      </c>
      <c r="AR1019" s="41">
        <f t="shared" si="980"/>
        <v>0</v>
      </c>
      <c r="AS1019" s="41">
        <f t="shared" si="981"/>
        <v>0</v>
      </c>
      <c r="AT1019" s="44" t="s">
        <v>2474</v>
      </c>
      <c r="AU1019" s="44" t="s">
        <v>2485</v>
      </c>
      <c r="AV1019" s="31" t="s">
        <v>2486</v>
      </c>
      <c r="AX1019" s="41">
        <f t="shared" si="982"/>
        <v>0</v>
      </c>
      <c r="AY1019" s="41">
        <f t="shared" si="983"/>
        <v>0</v>
      </c>
      <c r="AZ1019" s="41">
        <v>0</v>
      </c>
      <c r="BA1019" s="41">
        <f t="shared" si="984"/>
        <v>0</v>
      </c>
      <c r="BC1019" s="21">
        <f t="shared" si="985"/>
        <v>0</v>
      </c>
      <c r="BD1019" s="21">
        <f t="shared" si="986"/>
        <v>0</v>
      </c>
      <c r="BE1019" s="21">
        <f t="shared" si="987"/>
        <v>0</v>
      </c>
      <c r="BF1019" s="21" t="s">
        <v>2492</v>
      </c>
      <c r="BG1019" s="41" t="s">
        <v>1581</v>
      </c>
    </row>
    <row r="1020" spans="1:59" x14ac:dyDescent="0.3">
      <c r="A1020" s="4" t="s">
        <v>976</v>
      </c>
      <c r="B1020" s="13"/>
      <c r="C1020" s="13" t="s">
        <v>1597</v>
      </c>
      <c r="D1020" s="101" t="s">
        <v>2354</v>
      </c>
      <c r="E1020" s="102"/>
      <c r="F1020" s="13" t="s">
        <v>2385</v>
      </c>
      <c r="G1020" s="21">
        <v>500</v>
      </c>
      <c r="H1020" s="21">
        <v>0</v>
      </c>
      <c r="I1020" s="21">
        <f t="shared" si="962"/>
        <v>0</v>
      </c>
      <c r="J1020" s="21">
        <f t="shared" si="963"/>
        <v>0</v>
      </c>
      <c r="K1020" s="21">
        <f t="shared" si="964"/>
        <v>0</v>
      </c>
      <c r="L1020" s="21">
        <v>0</v>
      </c>
      <c r="M1020" s="21">
        <f t="shared" si="965"/>
        <v>0</v>
      </c>
      <c r="N1020" s="35"/>
      <c r="O1020" s="39"/>
      <c r="U1020" s="41">
        <f t="shared" si="966"/>
        <v>0</v>
      </c>
      <c r="W1020" s="41">
        <f t="shared" si="967"/>
        <v>0</v>
      </c>
      <c r="X1020" s="41">
        <f t="shared" si="968"/>
        <v>0</v>
      </c>
      <c r="Y1020" s="41">
        <f t="shared" si="969"/>
        <v>0</v>
      </c>
      <c r="Z1020" s="41">
        <f t="shared" si="970"/>
        <v>0</v>
      </c>
      <c r="AA1020" s="41">
        <f t="shared" si="971"/>
        <v>0</v>
      </c>
      <c r="AB1020" s="41">
        <f t="shared" si="972"/>
        <v>0</v>
      </c>
      <c r="AC1020" s="41">
        <f t="shared" si="973"/>
        <v>0</v>
      </c>
      <c r="AD1020" s="31"/>
      <c r="AE1020" s="21">
        <f t="shared" si="974"/>
        <v>0</v>
      </c>
      <c r="AF1020" s="21">
        <f t="shared" si="975"/>
        <v>0</v>
      </c>
      <c r="AG1020" s="21">
        <f t="shared" si="976"/>
        <v>0</v>
      </c>
      <c r="AI1020" s="41">
        <v>21</v>
      </c>
      <c r="AJ1020" s="41">
        <f t="shared" si="977"/>
        <v>0</v>
      </c>
      <c r="AK1020" s="41">
        <f t="shared" si="978"/>
        <v>0</v>
      </c>
      <c r="AL1020" s="42" t="s">
        <v>8</v>
      </c>
      <c r="AQ1020" s="41">
        <f t="shared" si="979"/>
        <v>0</v>
      </c>
      <c r="AR1020" s="41">
        <f t="shared" si="980"/>
        <v>0</v>
      </c>
      <c r="AS1020" s="41">
        <f t="shared" si="981"/>
        <v>0</v>
      </c>
      <c r="AT1020" s="44" t="s">
        <v>2474</v>
      </c>
      <c r="AU1020" s="44" t="s">
        <v>2485</v>
      </c>
      <c r="AV1020" s="31" t="s">
        <v>2486</v>
      </c>
      <c r="AX1020" s="41">
        <f t="shared" si="982"/>
        <v>0</v>
      </c>
      <c r="AY1020" s="41">
        <f t="shared" si="983"/>
        <v>0</v>
      </c>
      <c r="AZ1020" s="41">
        <v>0</v>
      </c>
      <c r="BA1020" s="41">
        <f t="shared" si="984"/>
        <v>0</v>
      </c>
      <c r="BC1020" s="21">
        <f t="shared" si="985"/>
        <v>0</v>
      </c>
      <c r="BD1020" s="21">
        <f t="shared" si="986"/>
        <v>0</v>
      </c>
      <c r="BE1020" s="21">
        <f t="shared" si="987"/>
        <v>0</v>
      </c>
      <c r="BF1020" s="21" t="s">
        <v>2492</v>
      </c>
      <c r="BG1020" s="41" t="s">
        <v>1581</v>
      </c>
    </row>
    <row r="1021" spans="1:59" x14ac:dyDescent="0.3">
      <c r="A1021" s="4" t="s">
        <v>977</v>
      </c>
      <c r="B1021" s="13"/>
      <c r="C1021" s="13" t="s">
        <v>1598</v>
      </c>
      <c r="D1021" s="101" t="s">
        <v>2355</v>
      </c>
      <c r="E1021" s="102"/>
      <c r="F1021" s="13" t="s">
        <v>2385</v>
      </c>
      <c r="G1021" s="21">
        <v>50</v>
      </c>
      <c r="H1021" s="21">
        <v>0</v>
      </c>
      <c r="I1021" s="21">
        <f t="shared" si="962"/>
        <v>0</v>
      </c>
      <c r="J1021" s="21">
        <f t="shared" si="963"/>
        <v>0</v>
      </c>
      <c r="K1021" s="21">
        <f t="shared" si="964"/>
        <v>0</v>
      </c>
      <c r="L1021" s="21">
        <v>0</v>
      </c>
      <c r="M1021" s="21">
        <f t="shared" si="965"/>
        <v>0</v>
      </c>
      <c r="N1021" s="35"/>
      <c r="O1021" s="39"/>
      <c r="U1021" s="41">
        <f t="shared" si="966"/>
        <v>0</v>
      </c>
      <c r="W1021" s="41">
        <f t="shared" si="967"/>
        <v>0</v>
      </c>
      <c r="X1021" s="41">
        <f t="shared" si="968"/>
        <v>0</v>
      </c>
      <c r="Y1021" s="41">
        <f t="shared" si="969"/>
        <v>0</v>
      </c>
      <c r="Z1021" s="41">
        <f t="shared" si="970"/>
        <v>0</v>
      </c>
      <c r="AA1021" s="41">
        <f t="shared" si="971"/>
        <v>0</v>
      </c>
      <c r="AB1021" s="41">
        <f t="shared" si="972"/>
        <v>0</v>
      </c>
      <c r="AC1021" s="41">
        <f t="shared" si="973"/>
        <v>0</v>
      </c>
      <c r="AD1021" s="31"/>
      <c r="AE1021" s="21">
        <f t="shared" si="974"/>
        <v>0</v>
      </c>
      <c r="AF1021" s="21">
        <f t="shared" si="975"/>
        <v>0</v>
      </c>
      <c r="AG1021" s="21">
        <f t="shared" si="976"/>
        <v>0</v>
      </c>
      <c r="AI1021" s="41">
        <v>21</v>
      </c>
      <c r="AJ1021" s="41">
        <f t="shared" si="977"/>
        <v>0</v>
      </c>
      <c r="AK1021" s="41">
        <f t="shared" si="978"/>
        <v>0</v>
      </c>
      <c r="AL1021" s="42" t="s">
        <v>8</v>
      </c>
      <c r="AQ1021" s="41">
        <f t="shared" si="979"/>
        <v>0</v>
      </c>
      <c r="AR1021" s="41">
        <f t="shared" si="980"/>
        <v>0</v>
      </c>
      <c r="AS1021" s="41">
        <f t="shared" si="981"/>
        <v>0</v>
      </c>
      <c r="AT1021" s="44" t="s">
        <v>2474</v>
      </c>
      <c r="AU1021" s="44" t="s">
        <v>2485</v>
      </c>
      <c r="AV1021" s="31" t="s">
        <v>2486</v>
      </c>
      <c r="AX1021" s="41">
        <f t="shared" si="982"/>
        <v>0</v>
      </c>
      <c r="AY1021" s="41">
        <f t="shared" si="983"/>
        <v>0</v>
      </c>
      <c r="AZ1021" s="41">
        <v>0</v>
      </c>
      <c r="BA1021" s="41">
        <f t="shared" si="984"/>
        <v>0</v>
      </c>
      <c r="BC1021" s="21">
        <f t="shared" si="985"/>
        <v>0</v>
      </c>
      <c r="BD1021" s="21">
        <f t="shared" si="986"/>
        <v>0</v>
      </c>
      <c r="BE1021" s="21">
        <f t="shared" si="987"/>
        <v>0</v>
      </c>
      <c r="BF1021" s="21" t="s">
        <v>2492</v>
      </c>
      <c r="BG1021" s="41" t="s">
        <v>1581</v>
      </c>
    </row>
    <row r="1022" spans="1:59" x14ac:dyDescent="0.3">
      <c r="A1022" s="4" t="s">
        <v>978</v>
      </c>
      <c r="B1022" s="13"/>
      <c r="C1022" s="13" t="s">
        <v>1599</v>
      </c>
      <c r="D1022" s="101" t="s">
        <v>2356</v>
      </c>
      <c r="E1022" s="102"/>
      <c r="F1022" s="13" t="s">
        <v>2385</v>
      </c>
      <c r="G1022" s="21">
        <v>150</v>
      </c>
      <c r="H1022" s="21">
        <v>0</v>
      </c>
      <c r="I1022" s="21">
        <f t="shared" si="962"/>
        <v>0</v>
      </c>
      <c r="J1022" s="21">
        <f t="shared" si="963"/>
        <v>0</v>
      </c>
      <c r="K1022" s="21">
        <f t="shared" si="964"/>
        <v>0</v>
      </c>
      <c r="L1022" s="21">
        <v>0</v>
      </c>
      <c r="M1022" s="21">
        <f t="shared" si="965"/>
        <v>0</v>
      </c>
      <c r="N1022" s="35"/>
      <c r="O1022" s="39"/>
      <c r="U1022" s="41">
        <f t="shared" si="966"/>
        <v>0</v>
      </c>
      <c r="W1022" s="41">
        <f t="shared" si="967"/>
        <v>0</v>
      </c>
      <c r="X1022" s="41">
        <f t="shared" si="968"/>
        <v>0</v>
      </c>
      <c r="Y1022" s="41">
        <f t="shared" si="969"/>
        <v>0</v>
      </c>
      <c r="Z1022" s="41">
        <f t="shared" si="970"/>
        <v>0</v>
      </c>
      <c r="AA1022" s="41">
        <f t="shared" si="971"/>
        <v>0</v>
      </c>
      <c r="AB1022" s="41">
        <f t="shared" si="972"/>
        <v>0</v>
      </c>
      <c r="AC1022" s="41">
        <f t="shared" si="973"/>
        <v>0</v>
      </c>
      <c r="AD1022" s="31"/>
      <c r="AE1022" s="21">
        <f t="shared" si="974"/>
        <v>0</v>
      </c>
      <c r="AF1022" s="21">
        <f t="shared" si="975"/>
        <v>0</v>
      </c>
      <c r="AG1022" s="21">
        <f t="shared" si="976"/>
        <v>0</v>
      </c>
      <c r="AI1022" s="41">
        <v>21</v>
      </c>
      <c r="AJ1022" s="41">
        <f t="shared" si="977"/>
        <v>0</v>
      </c>
      <c r="AK1022" s="41">
        <f t="shared" si="978"/>
        <v>0</v>
      </c>
      <c r="AL1022" s="42" t="s">
        <v>8</v>
      </c>
      <c r="AQ1022" s="41">
        <f t="shared" si="979"/>
        <v>0</v>
      </c>
      <c r="AR1022" s="41">
        <f t="shared" si="980"/>
        <v>0</v>
      </c>
      <c r="AS1022" s="41">
        <f t="shared" si="981"/>
        <v>0</v>
      </c>
      <c r="AT1022" s="44" t="s">
        <v>2474</v>
      </c>
      <c r="AU1022" s="44" t="s">
        <v>2485</v>
      </c>
      <c r="AV1022" s="31" t="s">
        <v>2486</v>
      </c>
      <c r="AX1022" s="41">
        <f t="shared" si="982"/>
        <v>0</v>
      </c>
      <c r="AY1022" s="41">
        <f t="shared" si="983"/>
        <v>0</v>
      </c>
      <c r="AZ1022" s="41">
        <v>0</v>
      </c>
      <c r="BA1022" s="41">
        <f t="shared" si="984"/>
        <v>0</v>
      </c>
      <c r="BC1022" s="21">
        <f t="shared" si="985"/>
        <v>0</v>
      </c>
      <c r="BD1022" s="21">
        <f t="shared" si="986"/>
        <v>0</v>
      </c>
      <c r="BE1022" s="21">
        <f t="shared" si="987"/>
        <v>0</v>
      </c>
      <c r="BF1022" s="21" t="s">
        <v>2492</v>
      </c>
      <c r="BG1022" s="41" t="s">
        <v>1581</v>
      </c>
    </row>
    <row r="1023" spans="1:59" x14ac:dyDescent="0.3">
      <c r="A1023" s="4" t="s">
        <v>979</v>
      </c>
      <c r="B1023" s="13"/>
      <c r="C1023" s="13" t="s">
        <v>1600</v>
      </c>
      <c r="D1023" s="101" t="s">
        <v>2357</v>
      </c>
      <c r="E1023" s="102"/>
      <c r="F1023" s="13" t="s">
        <v>2385</v>
      </c>
      <c r="G1023" s="21">
        <v>200</v>
      </c>
      <c r="H1023" s="21">
        <v>0</v>
      </c>
      <c r="I1023" s="21">
        <f t="shared" si="962"/>
        <v>0</v>
      </c>
      <c r="J1023" s="21">
        <f t="shared" si="963"/>
        <v>0</v>
      </c>
      <c r="K1023" s="21">
        <f t="shared" si="964"/>
        <v>0</v>
      </c>
      <c r="L1023" s="21">
        <v>0</v>
      </c>
      <c r="M1023" s="21">
        <f t="shared" si="965"/>
        <v>0</v>
      </c>
      <c r="N1023" s="35"/>
      <c r="O1023" s="39"/>
      <c r="U1023" s="41">
        <f t="shared" si="966"/>
        <v>0</v>
      </c>
      <c r="W1023" s="41">
        <f t="shared" si="967"/>
        <v>0</v>
      </c>
      <c r="X1023" s="41">
        <f t="shared" si="968"/>
        <v>0</v>
      </c>
      <c r="Y1023" s="41">
        <f t="shared" si="969"/>
        <v>0</v>
      </c>
      <c r="Z1023" s="41">
        <f t="shared" si="970"/>
        <v>0</v>
      </c>
      <c r="AA1023" s="41">
        <f t="shared" si="971"/>
        <v>0</v>
      </c>
      <c r="AB1023" s="41">
        <f t="shared" si="972"/>
        <v>0</v>
      </c>
      <c r="AC1023" s="41">
        <f t="shared" si="973"/>
        <v>0</v>
      </c>
      <c r="AD1023" s="31"/>
      <c r="AE1023" s="21">
        <f t="shared" si="974"/>
        <v>0</v>
      </c>
      <c r="AF1023" s="21">
        <f t="shared" si="975"/>
        <v>0</v>
      </c>
      <c r="AG1023" s="21">
        <f t="shared" si="976"/>
        <v>0</v>
      </c>
      <c r="AI1023" s="41">
        <v>21</v>
      </c>
      <c r="AJ1023" s="41">
        <f t="shared" si="977"/>
        <v>0</v>
      </c>
      <c r="AK1023" s="41">
        <f t="shared" si="978"/>
        <v>0</v>
      </c>
      <c r="AL1023" s="42" t="s">
        <v>8</v>
      </c>
      <c r="AQ1023" s="41">
        <f t="shared" si="979"/>
        <v>0</v>
      </c>
      <c r="AR1023" s="41">
        <f t="shared" si="980"/>
        <v>0</v>
      </c>
      <c r="AS1023" s="41">
        <f t="shared" si="981"/>
        <v>0</v>
      </c>
      <c r="AT1023" s="44" t="s">
        <v>2474</v>
      </c>
      <c r="AU1023" s="44" t="s">
        <v>2485</v>
      </c>
      <c r="AV1023" s="31" t="s">
        <v>2486</v>
      </c>
      <c r="AX1023" s="41">
        <f t="shared" si="982"/>
        <v>0</v>
      </c>
      <c r="AY1023" s="41">
        <f t="shared" si="983"/>
        <v>0</v>
      </c>
      <c r="AZ1023" s="41">
        <v>0</v>
      </c>
      <c r="BA1023" s="41">
        <f t="shared" si="984"/>
        <v>0</v>
      </c>
      <c r="BC1023" s="21">
        <f t="shared" si="985"/>
        <v>0</v>
      </c>
      <c r="BD1023" s="21">
        <f t="shared" si="986"/>
        <v>0</v>
      </c>
      <c r="BE1023" s="21">
        <f t="shared" si="987"/>
        <v>0</v>
      </c>
      <c r="BF1023" s="21" t="s">
        <v>2492</v>
      </c>
      <c r="BG1023" s="41" t="s">
        <v>1581</v>
      </c>
    </row>
    <row r="1024" spans="1:59" x14ac:dyDescent="0.3">
      <c r="A1024" s="4" t="s">
        <v>980</v>
      </c>
      <c r="B1024" s="13"/>
      <c r="C1024" s="13" t="s">
        <v>1601</v>
      </c>
      <c r="D1024" s="101" t="s">
        <v>2358</v>
      </c>
      <c r="E1024" s="102"/>
      <c r="F1024" s="13" t="s">
        <v>2386</v>
      </c>
      <c r="G1024" s="21">
        <v>1</v>
      </c>
      <c r="H1024" s="21">
        <v>0</v>
      </c>
      <c r="I1024" s="21">
        <f t="shared" si="962"/>
        <v>0</v>
      </c>
      <c r="J1024" s="21">
        <f t="shared" si="963"/>
        <v>0</v>
      </c>
      <c r="K1024" s="21">
        <f t="shared" si="964"/>
        <v>0</v>
      </c>
      <c r="L1024" s="21">
        <v>0</v>
      </c>
      <c r="M1024" s="21">
        <f t="shared" si="965"/>
        <v>0</v>
      </c>
      <c r="N1024" s="35"/>
      <c r="O1024" s="39"/>
      <c r="U1024" s="41">
        <f t="shared" si="966"/>
        <v>0</v>
      </c>
      <c r="W1024" s="41">
        <f t="shared" si="967"/>
        <v>0</v>
      </c>
      <c r="X1024" s="41">
        <f t="shared" si="968"/>
        <v>0</v>
      </c>
      <c r="Y1024" s="41">
        <f t="shared" si="969"/>
        <v>0</v>
      </c>
      <c r="Z1024" s="41">
        <f t="shared" si="970"/>
        <v>0</v>
      </c>
      <c r="AA1024" s="41">
        <f t="shared" si="971"/>
        <v>0</v>
      </c>
      <c r="AB1024" s="41">
        <f t="shared" si="972"/>
        <v>0</v>
      </c>
      <c r="AC1024" s="41">
        <f t="shared" si="973"/>
        <v>0</v>
      </c>
      <c r="AD1024" s="31"/>
      <c r="AE1024" s="21">
        <f t="shared" si="974"/>
        <v>0</v>
      </c>
      <c r="AF1024" s="21">
        <f t="shared" si="975"/>
        <v>0</v>
      </c>
      <c r="AG1024" s="21">
        <f t="shared" si="976"/>
        <v>0</v>
      </c>
      <c r="AI1024" s="41">
        <v>21</v>
      </c>
      <c r="AJ1024" s="41">
        <f t="shared" si="977"/>
        <v>0</v>
      </c>
      <c r="AK1024" s="41">
        <f t="shared" si="978"/>
        <v>0</v>
      </c>
      <c r="AL1024" s="42" t="s">
        <v>8</v>
      </c>
      <c r="AQ1024" s="41">
        <f t="shared" si="979"/>
        <v>0</v>
      </c>
      <c r="AR1024" s="41">
        <f t="shared" si="980"/>
        <v>0</v>
      </c>
      <c r="AS1024" s="41">
        <f t="shared" si="981"/>
        <v>0</v>
      </c>
      <c r="AT1024" s="44" t="s">
        <v>2474</v>
      </c>
      <c r="AU1024" s="44" t="s">
        <v>2485</v>
      </c>
      <c r="AV1024" s="31" t="s">
        <v>2486</v>
      </c>
      <c r="AX1024" s="41">
        <f t="shared" si="982"/>
        <v>0</v>
      </c>
      <c r="AY1024" s="41">
        <f t="shared" si="983"/>
        <v>0</v>
      </c>
      <c r="AZ1024" s="41">
        <v>0</v>
      </c>
      <c r="BA1024" s="41">
        <f t="shared" si="984"/>
        <v>0</v>
      </c>
      <c r="BC1024" s="21">
        <f t="shared" si="985"/>
        <v>0</v>
      </c>
      <c r="BD1024" s="21">
        <f t="shared" si="986"/>
        <v>0</v>
      </c>
      <c r="BE1024" s="21">
        <f t="shared" si="987"/>
        <v>0</v>
      </c>
      <c r="BF1024" s="21" t="s">
        <v>2492</v>
      </c>
      <c r="BG1024" s="41" t="s">
        <v>1581</v>
      </c>
    </row>
    <row r="1025" spans="1:59" x14ac:dyDescent="0.3">
      <c r="A1025" s="4" t="s">
        <v>981</v>
      </c>
      <c r="B1025" s="13"/>
      <c r="C1025" s="13" t="s">
        <v>1602</v>
      </c>
      <c r="D1025" s="101" t="s">
        <v>2359</v>
      </c>
      <c r="E1025" s="102"/>
      <c r="F1025" s="13" t="s">
        <v>2386</v>
      </c>
      <c r="G1025" s="21">
        <v>1</v>
      </c>
      <c r="H1025" s="21">
        <v>0</v>
      </c>
      <c r="I1025" s="21">
        <f t="shared" si="962"/>
        <v>0</v>
      </c>
      <c r="J1025" s="21">
        <f t="shared" si="963"/>
        <v>0</v>
      </c>
      <c r="K1025" s="21">
        <f t="shared" si="964"/>
        <v>0</v>
      </c>
      <c r="L1025" s="21">
        <v>0</v>
      </c>
      <c r="M1025" s="21">
        <f t="shared" si="965"/>
        <v>0</v>
      </c>
      <c r="N1025" s="35"/>
      <c r="O1025" s="39"/>
      <c r="U1025" s="41">
        <f t="shared" si="966"/>
        <v>0</v>
      </c>
      <c r="W1025" s="41">
        <f t="shared" si="967"/>
        <v>0</v>
      </c>
      <c r="X1025" s="41">
        <f t="shared" si="968"/>
        <v>0</v>
      </c>
      <c r="Y1025" s="41">
        <f t="shared" si="969"/>
        <v>0</v>
      </c>
      <c r="Z1025" s="41">
        <f t="shared" si="970"/>
        <v>0</v>
      </c>
      <c r="AA1025" s="41">
        <f t="shared" si="971"/>
        <v>0</v>
      </c>
      <c r="AB1025" s="41">
        <f t="shared" si="972"/>
        <v>0</v>
      </c>
      <c r="AC1025" s="41">
        <f t="shared" si="973"/>
        <v>0</v>
      </c>
      <c r="AD1025" s="31"/>
      <c r="AE1025" s="21">
        <f t="shared" si="974"/>
        <v>0</v>
      </c>
      <c r="AF1025" s="21">
        <f t="shared" si="975"/>
        <v>0</v>
      </c>
      <c r="AG1025" s="21">
        <f t="shared" si="976"/>
        <v>0</v>
      </c>
      <c r="AI1025" s="41">
        <v>21</v>
      </c>
      <c r="AJ1025" s="41">
        <f t="shared" si="977"/>
        <v>0</v>
      </c>
      <c r="AK1025" s="41">
        <f t="shared" si="978"/>
        <v>0</v>
      </c>
      <c r="AL1025" s="42" t="s">
        <v>8</v>
      </c>
      <c r="AQ1025" s="41">
        <f t="shared" si="979"/>
        <v>0</v>
      </c>
      <c r="AR1025" s="41">
        <f t="shared" si="980"/>
        <v>0</v>
      </c>
      <c r="AS1025" s="41">
        <f t="shared" si="981"/>
        <v>0</v>
      </c>
      <c r="AT1025" s="44" t="s">
        <v>2474</v>
      </c>
      <c r="AU1025" s="44" t="s">
        <v>2485</v>
      </c>
      <c r="AV1025" s="31" t="s">
        <v>2486</v>
      </c>
      <c r="AX1025" s="41">
        <f t="shared" si="982"/>
        <v>0</v>
      </c>
      <c r="AY1025" s="41">
        <f t="shared" si="983"/>
        <v>0</v>
      </c>
      <c r="AZ1025" s="41">
        <v>0</v>
      </c>
      <c r="BA1025" s="41">
        <f t="shared" si="984"/>
        <v>0</v>
      </c>
      <c r="BC1025" s="21">
        <f t="shared" si="985"/>
        <v>0</v>
      </c>
      <c r="BD1025" s="21">
        <f t="shared" si="986"/>
        <v>0</v>
      </c>
      <c r="BE1025" s="21">
        <f t="shared" si="987"/>
        <v>0</v>
      </c>
      <c r="BF1025" s="21" t="s">
        <v>2492</v>
      </c>
      <c r="BG1025" s="41" t="s">
        <v>1581</v>
      </c>
    </row>
    <row r="1026" spans="1:59" x14ac:dyDescent="0.3">
      <c r="A1026" s="4" t="s">
        <v>982</v>
      </c>
      <c r="B1026" s="13"/>
      <c r="C1026" s="13" t="s">
        <v>1603</v>
      </c>
      <c r="D1026" s="101" t="s">
        <v>2360</v>
      </c>
      <c r="E1026" s="102"/>
      <c r="F1026" s="13" t="s">
        <v>2386</v>
      </c>
      <c r="G1026" s="21">
        <v>1</v>
      </c>
      <c r="H1026" s="21">
        <v>0</v>
      </c>
      <c r="I1026" s="21">
        <f t="shared" si="962"/>
        <v>0</v>
      </c>
      <c r="J1026" s="21">
        <f t="shared" si="963"/>
        <v>0</v>
      </c>
      <c r="K1026" s="21">
        <f t="shared" si="964"/>
        <v>0</v>
      </c>
      <c r="L1026" s="21">
        <v>0</v>
      </c>
      <c r="M1026" s="21">
        <f t="shared" si="965"/>
        <v>0</v>
      </c>
      <c r="N1026" s="35"/>
      <c r="O1026" s="39"/>
      <c r="U1026" s="41">
        <f t="shared" si="966"/>
        <v>0</v>
      </c>
      <c r="W1026" s="41">
        <f t="shared" si="967"/>
        <v>0</v>
      </c>
      <c r="X1026" s="41">
        <f t="shared" si="968"/>
        <v>0</v>
      </c>
      <c r="Y1026" s="41">
        <f t="shared" si="969"/>
        <v>0</v>
      </c>
      <c r="Z1026" s="41">
        <f t="shared" si="970"/>
        <v>0</v>
      </c>
      <c r="AA1026" s="41">
        <f t="shared" si="971"/>
        <v>0</v>
      </c>
      <c r="AB1026" s="41">
        <f t="shared" si="972"/>
        <v>0</v>
      </c>
      <c r="AC1026" s="41">
        <f t="shared" si="973"/>
        <v>0</v>
      </c>
      <c r="AD1026" s="31"/>
      <c r="AE1026" s="21">
        <f t="shared" si="974"/>
        <v>0</v>
      </c>
      <c r="AF1026" s="21">
        <f t="shared" si="975"/>
        <v>0</v>
      </c>
      <c r="AG1026" s="21">
        <f t="shared" si="976"/>
        <v>0</v>
      </c>
      <c r="AI1026" s="41">
        <v>21</v>
      </c>
      <c r="AJ1026" s="41">
        <f t="shared" si="977"/>
        <v>0</v>
      </c>
      <c r="AK1026" s="41">
        <f t="shared" si="978"/>
        <v>0</v>
      </c>
      <c r="AL1026" s="42" t="s">
        <v>8</v>
      </c>
      <c r="AQ1026" s="41">
        <f t="shared" si="979"/>
        <v>0</v>
      </c>
      <c r="AR1026" s="41">
        <f t="shared" si="980"/>
        <v>0</v>
      </c>
      <c r="AS1026" s="41">
        <f t="shared" si="981"/>
        <v>0</v>
      </c>
      <c r="AT1026" s="44" t="s">
        <v>2474</v>
      </c>
      <c r="AU1026" s="44" t="s">
        <v>2485</v>
      </c>
      <c r="AV1026" s="31" t="s">
        <v>2486</v>
      </c>
      <c r="AX1026" s="41">
        <f t="shared" si="982"/>
        <v>0</v>
      </c>
      <c r="AY1026" s="41">
        <f t="shared" si="983"/>
        <v>0</v>
      </c>
      <c r="AZ1026" s="41">
        <v>0</v>
      </c>
      <c r="BA1026" s="41">
        <f t="shared" si="984"/>
        <v>0</v>
      </c>
      <c r="BC1026" s="21">
        <f t="shared" si="985"/>
        <v>0</v>
      </c>
      <c r="BD1026" s="21">
        <f t="shared" si="986"/>
        <v>0</v>
      </c>
      <c r="BE1026" s="21">
        <f t="shared" si="987"/>
        <v>0</v>
      </c>
      <c r="BF1026" s="21" t="s">
        <v>2492</v>
      </c>
      <c r="BG1026" s="41" t="s">
        <v>1581</v>
      </c>
    </row>
    <row r="1027" spans="1:59" x14ac:dyDescent="0.3">
      <c r="A1027" s="4" t="s">
        <v>983</v>
      </c>
      <c r="B1027" s="13"/>
      <c r="C1027" s="13" t="s">
        <v>1604</v>
      </c>
      <c r="D1027" s="101" t="s">
        <v>2361</v>
      </c>
      <c r="E1027" s="102"/>
      <c r="F1027" s="13" t="s">
        <v>2386</v>
      </c>
      <c r="G1027" s="21">
        <v>1</v>
      </c>
      <c r="H1027" s="21">
        <v>0</v>
      </c>
      <c r="I1027" s="21">
        <f t="shared" si="962"/>
        <v>0</v>
      </c>
      <c r="J1027" s="21">
        <f t="shared" si="963"/>
        <v>0</v>
      </c>
      <c r="K1027" s="21">
        <f t="shared" si="964"/>
        <v>0</v>
      </c>
      <c r="L1027" s="21">
        <v>0</v>
      </c>
      <c r="M1027" s="21">
        <f t="shared" si="965"/>
        <v>0</v>
      </c>
      <c r="N1027" s="35"/>
      <c r="O1027" s="39"/>
      <c r="U1027" s="41">
        <f t="shared" si="966"/>
        <v>0</v>
      </c>
      <c r="W1027" s="41">
        <f t="shared" si="967"/>
        <v>0</v>
      </c>
      <c r="X1027" s="41">
        <f t="shared" si="968"/>
        <v>0</v>
      </c>
      <c r="Y1027" s="41">
        <f t="shared" si="969"/>
        <v>0</v>
      </c>
      <c r="Z1027" s="41">
        <f t="shared" si="970"/>
        <v>0</v>
      </c>
      <c r="AA1027" s="41">
        <f t="shared" si="971"/>
        <v>0</v>
      </c>
      <c r="AB1027" s="41">
        <f t="shared" si="972"/>
        <v>0</v>
      </c>
      <c r="AC1027" s="41">
        <f t="shared" si="973"/>
        <v>0</v>
      </c>
      <c r="AD1027" s="31"/>
      <c r="AE1027" s="21">
        <f t="shared" si="974"/>
        <v>0</v>
      </c>
      <c r="AF1027" s="21">
        <f t="shared" si="975"/>
        <v>0</v>
      </c>
      <c r="AG1027" s="21">
        <f t="shared" si="976"/>
        <v>0</v>
      </c>
      <c r="AI1027" s="41">
        <v>21</v>
      </c>
      <c r="AJ1027" s="41">
        <f t="shared" si="977"/>
        <v>0</v>
      </c>
      <c r="AK1027" s="41">
        <f t="shared" si="978"/>
        <v>0</v>
      </c>
      <c r="AL1027" s="42" t="s">
        <v>8</v>
      </c>
      <c r="AQ1027" s="41">
        <f t="shared" si="979"/>
        <v>0</v>
      </c>
      <c r="AR1027" s="41">
        <f t="shared" si="980"/>
        <v>0</v>
      </c>
      <c r="AS1027" s="41">
        <f t="shared" si="981"/>
        <v>0</v>
      </c>
      <c r="AT1027" s="44" t="s">
        <v>2474</v>
      </c>
      <c r="AU1027" s="44" t="s">
        <v>2485</v>
      </c>
      <c r="AV1027" s="31" t="s">
        <v>2486</v>
      </c>
      <c r="AX1027" s="41">
        <f t="shared" si="982"/>
        <v>0</v>
      </c>
      <c r="AY1027" s="41">
        <f t="shared" si="983"/>
        <v>0</v>
      </c>
      <c r="AZ1027" s="41">
        <v>0</v>
      </c>
      <c r="BA1027" s="41">
        <f t="shared" si="984"/>
        <v>0</v>
      </c>
      <c r="BC1027" s="21">
        <f t="shared" si="985"/>
        <v>0</v>
      </c>
      <c r="BD1027" s="21">
        <f t="shared" si="986"/>
        <v>0</v>
      </c>
      <c r="BE1027" s="21">
        <f t="shared" si="987"/>
        <v>0</v>
      </c>
      <c r="BF1027" s="21" t="s">
        <v>2492</v>
      </c>
      <c r="BG1027" s="41" t="s">
        <v>1581</v>
      </c>
    </row>
    <row r="1028" spans="1:59" x14ac:dyDescent="0.3">
      <c r="A1028" s="4" t="s">
        <v>984</v>
      </c>
      <c r="B1028" s="13"/>
      <c r="C1028" s="13" t="s">
        <v>1605</v>
      </c>
      <c r="D1028" s="101" t="s">
        <v>2362</v>
      </c>
      <c r="E1028" s="102"/>
      <c r="F1028" s="13" t="s">
        <v>2386</v>
      </c>
      <c r="G1028" s="21">
        <v>1</v>
      </c>
      <c r="H1028" s="21">
        <v>0</v>
      </c>
      <c r="I1028" s="21">
        <f t="shared" si="962"/>
        <v>0</v>
      </c>
      <c r="J1028" s="21">
        <f t="shared" si="963"/>
        <v>0</v>
      </c>
      <c r="K1028" s="21">
        <f t="shared" si="964"/>
        <v>0</v>
      </c>
      <c r="L1028" s="21">
        <v>0</v>
      </c>
      <c r="M1028" s="21">
        <f t="shared" si="965"/>
        <v>0</v>
      </c>
      <c r="N1028" s="35"/>
      <c r="O1028" s="39"/>
      <c r="U1028" s="41">
        <f t="shared" si="966"/>
        <v>0</v>
      </c>
      <c r="W1028" s="41">
        <f t="shared" si="967"/>
        <v>0</v>
      </c>
      <c r="X1028" s="41">
        <f t="shared" si="968"/>
        <v>0</v>
      </c>
      <c r="Y1028" s="41">
        <f t="shared" si="969"/>
        <v>0</v>
      </c>
      <c r="Z1028" s="41">
        <f t="shared" si="970"/>
        <v>0</v>
      </c>
      <c r="AA1028" s="41">
        <f t="shared" si="971"/>
        <v>0</v>
      </c>
      <c r="AB1028" s="41">
        <f t="shared" si="972"/>
        <v>0</v>
      </c>
      <c r="AC1028" s="41">
        <f t="shared" si="973"/>
        <v>0</v>
      </c>
      <c r="AD1028" s="31"/>
      <c r="AE1028" s="21">
        <f t="shared" si="974"/>
        <v>0</v>
      </c>
      <c r="AF1028" s="21">
        <f t="shared" si="975"/>
        <v>0</v>
      </c>
      <c r="AG1028" s="21">
        <f t="shared" si="976"/>
        <v>0</v>
      </c>
      <c r="AI1028" s="41">
        <v>21</v>
      </c>
      <c r="AJ1028" s="41">
        <f t="shared" si="977"/>
        <v>0</v>
      </c>
      <c r="AK1028" s="41">
        <f t="shared" si="978"/>
        <v>0</v>
      </c>
      <c r="AL1028" s="42" t="s">
        <v>8</v>
      </c>
      <c r="AQ1028" s="41">
        <f t="shared" si="979"/>
        <v>0</v>
      </c>
      <c r="AR1028" s="41">
        <f t="shared" si="980"/>
        <v>0</v>
      </c>
      <c r="AS1028" s="41">
        <f t="shared" si="981"/>
        <v>0</v>
      </c>
      <c r="AT1028" s="44" t="s">
        <v>2474</v>
      </c>
      <c r="AU1028" s="44" t="s">
        <v>2485</v>
      </c>
      <c r="AV1028" s="31" t="s">
        <v>2486</v>
      </c>
      <c r="AX1028" s="41">
        <f t="shared" si="982"/>
        <v>0</v>
      </c>
      <c r="AY1028" s="41">
        <f t="shared" si="983"/>
        <v>0</v>
      </c>
      <c r="AZ1028" s="41">
        <v>0</v>
      </c>
      <c r="BA1028" s="41">
        <f t="shared" si="984"/>
        <v>0</v>
      </c>
      <c r="BC1028" s="21">
        <f t="shared" si="985"/>
        <v>0</v>
      </c>
      <c r="BD1028" s="21">
        <f t="shared" si="986"/>
        <v>0</v>
      </c>
      <c r="BE1028" s="21">
        <f t="shared" si="987"/>
        <v>0</v>
      </c>
      <c r="BF1028" s="21" t="s">
        <v>2492</v>
      </c>
      <c r="BG1028" s="41" t="s">
        <v>1581</v>
      </c>
    </row>
    <row r="1029" spans="1:59" x14ac:dyDescent="0.3">
      <c r="A1029" s="4" t="s">
        <v>985</v>
      </c>
      <c r="B1029" s="13"/>
      <c r="C1029" s="13" t="s">
        <v>1606</v>
      </c>
      <c r="D1029" s="101" t="s">
        <v>2363</v>
      </c>
      <c r="E1029" s="102"/>
      <c r="F1029" s="13" t="s">
        <v>2386</v>
      </c>
      <c r="G1029" s="21">
        <v>1</v>
      </c>
      <c r="H1029" s="21">
        <v>0</v>
      </c>
      <c r="I1029" s="21">
        <f t="shared" si="962"/>
        <v>0</v>
      </c>
      <c r="J1029" s="21">
        <f t="shared" si="963"/>
        <v>0</v>
      </c>
      <c r="K1029" s="21">
        <f t="shared" si="964"/>
        <v>0</v>
      </c>
      <c r="L1029" s="21">
        <v>0</v>
      </c>
      <c r="M1029" s="21">
        <f t="shared" si="965"/>
        <v>0</v>
      </c>
      <c r="N1029" s="35"/>
      <c r="O1029" s="39"/>
      <c r="U1029" s="41">
        <f t="shared" si="966"/>
        <v>0</v>
      </c>
      <c r="W1029" s="41">
        <f t="shared" si="967"/>
        <v>0</v>
      </c>
      <c r="X1029" s="41">
        <f t="shared" si="968"/>
        <v>0</v>
      </c>
      <c r="Y1029" s="41">
        <f t="shared" si="969"/>
        <v>0</v>
      </c>
      <c r="Z1029" s="41">
        <f t="shared" si="970"/>
        <v>0</v>
      </c>
      <c r="AA1029" s="41">
        <f t="shared" si="971"/>
        <v>0</v>
      </c>
      <c r="AB1029" s="41">
        <f t="shared" si="972"/>
        <v>0</v>
      </c>
      <c r="AC1029" s="41">
        <f t="shared" si="973"/>
        <v>0</v>
      </c>
      <c r="AD1029" s="31"/>
      <c r="AE1029" s="21">
        <f t="shared" si="974"/>
        <v>0</v>
      </c>
      <c r="AF1029" s="21">
        <f t="shared" si="975"/>
        <v>0</v>
      </c>
      <c r="AG1029" s="21">
        <f t="shared" si="976"/>
        <v>0</v>
      </c>
      <c r="AI1029" s="41">
        <v>21</v>
      </c>
      <c r="AJ1029" s="41">
        <f t="shared" si="977"/>
        <v>0</v>
      </c>
      <c r="AK1029" s="41">
        <f t="shared" si="978"/>
        <v>0</v>
      </c>
      <c r="AL1029" s="42" t="s">
        <v>8</v>
      </c>
      <c r="AQ1029" s="41">
        <f t="shared" si="979"/>
        <v>0</v>
      </c>
      <c r="AR1029" s="41">
        <f t="shared" si="980"/>
        <v>0</v>
      </c>
      <c r="AS1029" s="41">
        <f t="shared" si="981"/>
        <v>0</v>
      </c>
      <c r="AT1029" s="44" t="s">
        <v>2474</v>
      </c>
      <c r="AU1029" s="44" t="s">
        <v>2485</v>
      </c>
      <c r="AV1029" s="31" t="s">
        <v>2486</v>
      </c>
      <c r="AX1029" s="41">
        <f t="shared" si="982"/>
        <v>0</v>
      </c>
      <c r="AY1029" s="41">
        <f t="shared" si="983"/>
        <v>0</v>
      </c>
      <c r="AZ1029" s="41">
        <v>0</v>
      </c>
      <c r="BA1029" s="41">
        <f t="shared" si="984"/>
        <v>0</v>
      </c>
      <c r="BC1029" s="21">
        <f t="shared" si="985"/>
        <v>0</v>
      </c>
      <c r="BD1029" s="21">
        <f t="shared" si="986"/>
        <v>0</v>
      </c>
      <c r="BE1029" s="21">
        <f t="shared" si="987"/>
        <v>0</v>
      </c>
      <c r="BF1029" s="21" t="s">
        <v>2492</v>
      </c>
      <c r="BG1029" s="41" t="s">
        <v>1581</v>
      </c>
    </row>
    <row r="1030" spans="1:59" x14ac:dyDescent="0.3">
      <c r="A1030" s="4" t="s">
        <v>986</v>
      </c>
      <c r="B1030" s="13"/>
      <c r="C1030" s="13" t="s">
        <v>1607</v>
      </c>
      <c r="D1030" s="101" t="s">
        <v>2364</v>
      </c>
      <c r="E1030" s="102"/>
      <c r="F1030" s="13" t="s">
        <v>2386</v>
      </c>
      <c r="G1030" s="21">
        <v>1</v>
      </c>
      <c r="H1030" s="21">
        <v>0</v>
      </c>
      <c r="I1030" s="21">
        <f t="shared" si="962"/>
        <v>0</v>
      </c>
      <c r="J1030" s="21">
        <f t="shared" si="963"/>
        <v>0</v>
      </c>
      <c r="K1030" s="21">
        <f t="shared" si="964"/>
        <v>0</v>
      </c>
      <c r="L1030" s="21">
        <v>0</v>
      </c>
      <c r="M1030" s="21">
        <f t="shared" si="965"/>
        <v>0</v>
      </c>
      <c r="N1030" s="35"/>
      <c r="O1030" s="39"/>
      <c r="U1030" s="41">
        <f t="shared" si="966"/>
        <v>0</v>
      </c>
      <c r="W1030" s="41">
        <f t="shared" si="967"/>
        <v>0</v>
      </c>
      <c r="X1030" s="41">
        <f t="shared" si="968"/>
        <v>0</v>
      </c>
      <c r="Y1030" s="41">
        <f t="shared" si="969"/>
        <v>0</v>
      </c>
      <c r="Z1030" s="41">
        <f t="shared" si="970"/>
        <v>0</v>
      </c>
      <c r="AA1030" s="41">
        <f t="shared" si="971"/>
        <v>0</v>
      </c>
      <c r="AB1030" s="41">
        <f t="shared" si="972"/>
        <v>0</v>
      </c>
      <c r="AC1030" s="41">
        <f t="shared" si="973"/>
        <v>0</v>
      </c>
      <c r="AD1030" s="31"/>
      <c r="AE1030" s="21">
        <f t="shared" si="974"/>
        <v>0</v>
      </c>
      <c r="AF1030" s="21">
        <f t="shared" si="975"/>
        <v>0</v>
      </c>
      <c r="AG1030" s="21">
        <f t="shared" si="976"/>
        <v>0</v>
      </c>
      <c r="AI1030" s="41">
        <v>21</v>
      </c>
      <c r="AJ1030" s="41">
        <f t="shared" si="977"/>
        <v>0</v>
      </c>
      <c r="AK1030" s="41">
        <f t="shared" si="978"/>
        <v>0</v>
      </c>
      <c r="AL1030" s="42" t="s">
        <v>8</v>
      </c>
      <c r="AQ1030" s="41">
        <f t="shared" si="979"/>
        <v>0</v>
      </c>
      <c r="AR1030" s="41">
        <f t="shared" si="980"/>
        <v>0</v>
      </c>
      <c r="AS1030" s="41">
        <f t="shared" si="981"/>
        <v>0</v>
      </c>
      <c r="AT1030" s="44" t="s">
        <v>2474</v>
      </c>
      <c r="AU1030" s="44" t="s">
        <v>2485</v>
      </c>
      <c r="AV1030" s="31" t="s">
        <v>2486</v>
      </c>
      <c r="AX1030" s="41">
        <f t="shared" si="982"/>
        <v>0</v>
      </c>
      <c r="AY1030" s="41">
        <f t="shared" si="983"/>
        <v>0</v>
      </c>
      <c r="AZ1030" s="41">
        <v>0</v>
      </c>
      <c r="BA1030" s="41">
        <f t="shared" si="984"/>
        <v>0</v>
      </c>
      <c r="BC1030" s="21">
        <f t="shared" si="985"/>
        <v>0</v>
      </c>
      <c r="BD1030" s="21">
        <f t="shared" si="986"/>
        <v>0</v>
      </c>
      <c r="BE1030" s="21">
        <f t="shared" si="987"/>
        <v>0</v>
      </c>
      <c r="BF1030" s="21" t="s">
        <v>2492</v>
      </c>
      <c r="BG1030" s="41" t="s">
        <v>1581</v>
      </c>
    </row>
    <row r="1031" spans="1:59" x14ac:dyDescent="0.3">
      <c r="A1031" s="4" t="s">
        <v>987</v>
      </c>
      <c r="B1031" s="13"/>
      <c r="C1031" s="13" t="s">
        <v>1608</v>
      </c>
      <c r="D1031" s="101" t="s">
        <v>2365</v>
      </c>
      <c r="E1031" s="102"/>
      <c r="F1031" s="13" t="s">
        <v>2386</v>
      </c>
      <c r="G1031" s="21">
        <v>1</v>
      </c>
      <c r="H1031" s="21">
        <v>0</v>
      </c>
      <c r="I1031" s="21">
        <f t="shared" si="962"/>
        <v>0</v>
      </c>
      <c r="J1031" s="21">
        <f t="shared" si="963"/>
        <v>0</v>
      </c>
      <c r="K1031" s="21">
        <f t="shared" si="964"/>
        <v>0</v>
      </c>
      <c r="L1031" s="21">
        <v>0</v>
      </c>
      <c r="M1031" s="21">
        <f t="shared" si="965"/>
        <v>0</v>
      </c>
      <c r="N1031" s="35"/>
      <c r="O1031" s="39"/>
      <c r="U1031" s="41">
        <f t="shared" si="966"/>
        <v>0</v>
      </c>
      <c r="W1031" s="41">
        <f t="shared" si="967"/>
        <v>0</v>
      </c>
      <c r="X1031" s="41">
        <f t="shared" si="968"/>
        <v>0</v>
      </c>
      <c r="Y1031" s="41">
        <f t="shared" si="969"/>
        <v>0</v>
      </c>
      <c r="Z1031" s="41">
        <f t="shared" si="970"/>
        <v>0</v>
      </c>
      <c r="AA1031" s="41">
        <f t="shared" si="971"/>
        <v>0</v>
      </c>
      <c r="AB1031" s="41">
        <f t="shared" si="972"/>
        <v>0</v>
      </c>
      <c r="AC1031" s="41">
        <f t="shared" si="973"/>
        <v>0</v>
      </c>
      <c r="AD1031" s="31"/>
      <c r="AE1031" s="21">
        <f t="shared" si="974"/>
        <v>0</v>
      </c>
      <c r="AF1031" s="21">
        <f t="shared" si="975"/>
        <v>0</v>
      </c>
      <c r="AG1031" s="21">
        <f t="shared" si="976"/>
        <v>0</v>
      </c>
      <c r="AI1031" s="41">
        <v>21</v>
      </c>
      <c r="AJ1031" s="41">
        <f t="shared" si="977"/>
        <v>0</v>
      </c>
      <c r="AK1031" s="41">
        <f t="shared" si="978"/>
        <v>0</v>
      </c>
      <c r="AL1031" s="42" t="s">
        <v>8</v>
      </c>
      <c r="AQ1031" s="41">
        <f t="shared" si="979"/>
        <v>0</v>
      </c>
      <c r="AR1031" s="41">
        <f t="shared" si="980"/>
        <v>0</v>
      </c>
      <c r="AS1031" s="41">
        <f t="shared" si="981"/>
        <v>0</v>
      </c>
      <c r="AT1031" s="44" t="s">
        <v>2474</v>
      </c>
      <c r="AU1031" s="44" t="s">
        <v>2485</v>
      </c>
      <c r="AV1031" s="31" t="s">
        <v>2486</v>
      </c>
      <c r="AX1031" s="41">
        <f t="shared" si="982"/>
        <v>0</v>
      </c>
      <c r="AY1031" s="41">
        <f t="shared" si="983"/>
        <v>0</v>
      </c>
      <c r="AZ1031" s="41">
        <v>0</v>
      </c>
      <c r="BA1031" s="41">
        <f t="shared" si="984"/>
        <v>0</v>
      </c>
      <c r="BC1031" s="21">
        <f t="shared" si="985"/>
        <v>0</v>
      </c>
      <c r="BD1031" s="21">
        <f t="shared" si="986"/>
        <v>0</v>
      </c>
      <c r="BE1031" s="21">
        <f t="shared" si="987"/>
        <v>0</v>
      </c>
      <c r="BF1031" s="21" t="s">
        <v>2492</v>
      </c>
      <c r="BG1031" s="41" t="s">
        <v>1581</v>
      </c>
    </row>
    <row r="1032" spans="1:59" x14ac:dyDescent="0.3">
      <c r="A1032" s="4" t="s">
        <v>988</v>
      </c>
      <c r="B1032" s="13"/>
      <c r="C1032" s="13" t="s">
        <v>1609</v>
      </c>
      <c r="D1032" s="101" t="s">
        <v>2366</v>
      </c>
      <c r="E1032" s="102"/>
      <c r="F1032" s="13" t="s">
        <v>2386</v>
      </c>
      <c r="G1032" s="21">
        <v>1</v>
      </c>
      <c r="H1032" s="21">
        <v>0</v>
      </c>
      <c r="I1032" s="21">
        <f t="shared" si="962"/>
        <v>0</v>
      </c>
      <c r="J1032" s="21">
        <f t="shared" si="963"/>
        <v>0</v>
      </c>
      <c r="K1032" s="21">
        <f t="shared" si="964"/>
        <v>0</v>
      </c>
      <c r="L1032" s="21">
        <v>0</v>
      </c>
      <c r="M1032" s="21">
        <f t="shared" si="965"/>
        <v>0</v>
      </c>
      <c r="N1032" s="35"/>
      <c r="O1032" s="39"/>
      <c r="U1032" s="41">
        <f t="shared" si="966"/>
        <v>0</v>
      </c>
      <c r="W1032" s="41">
        <f t="shared" si="967"/>
        <v>0</v>
      </c>
      <c r="X1032" s="41">
        <f t="shared" si="968"/>
        <v>0</v>
      </c>
      <c r="Y1032" s="41">
        <f t="shared" si="969"/>
        <v>0</v>
      </c>
      <c r="Z1032" s="41">
        <f t="shared" si="970"/>
        <v>0</v>
      </c>
      <c r="AA1032" s="41">
        <f t="shared" si="971"/>
        <v>0</v>
      </c>
      <c r="AB1032" s="41">
        <f t="shared" si="972"/>
        <v>0</v>
      </c>
      <c r="AC1032" s="41">
        <f t="shared" si="973"/>
        <v>0</v>
      </c>
      <c r="AD1032" s="31"/>
      <c r="AE1032" s="21">
        <f t="shared" si="974"/>
        <v>0</v>
      </c>
      <c r="AF1032" s="21">
        <f t="shared" si="975"/>
        <v>0</v>
      </c>
      <c r="AG1032" s="21">
        <f t="shared" si="976"/>
        <v>0</v>
      </c>
      <c r="AI1032" s="41">
        <v>21</v>
      </c>
      <c r="AJ1032" s="41">
        <f t="shared" si="977"/>
        <v>0</v>
      </c>
      <c r="AK1032" s="41">
        <f t="shared" si="978"/>
        <v>0</v>
      </c>
      <c r="AL1032" s="42" t="s">
        <v>8</v>
      </c>
      <c r="AQ1032" s="41">
        <f t="shared" si="979"/>
        <v>0</v>
      </c>
      <c r="AR1032" s="41">
        <f t="shared" si="980"/>
        <v>0</v>
      </c>
      <c r="AS1032" s="41">
        <f t="shared" si="981"/>
        <v>0</v>
      </c>
      <c r="AT1032" s="44" t="s">
        <v>2474</v>
      </c>
      <c r="AU1032" s="44" t="s">
        <v>2485</v>
      </c>
      <c r="AV1032" s="31" t="s">
        <v>2486</v>
      </c>
      <c r="AX1032" s="41">
        <f t="shared" si="982"/>
        <v>0</v>
      </c>
      <c r="AY1032" s="41">
        <f t="shared" si="983"/>
        <v>0</v>
      </c>
      <c r="AZ1032" s="41">
        <v>0</v>
      </c>
      <c r="BA1032" s="41">
        <f t="shared" si="984"/>
        <v>0</v>
      </c>
      <c r="BC1032" s="21">
        <f t="shared" si="985"/>
        <v>0</v>
      </c>
      <c r="BD1032" s="21">
        <f t="shared" si="986"/>
        <v>0</v>
      </c>
      <c r="BE1032" s="21">
        <f t="shared" si="987"/>
        <v>0</v>
      </c>
      <c r="BF1032" s="21" t="s">
        <v>2492</v>
      </c>
      <c r="BG1032" s="41" t="s">
        <v>1581</v>
      </c>
    </row>
    <row r="1033" spans="1:59" x14ac:dyDescent="0.3">
      <c r="A1033" s="4" t="s">
        <v>989</v>
      </c>
      <c r="B1033" s="13"/>
      <c r="C1033" s="13" t="s">
        <v>1610</v>
      </c>
      <c r="D1033" s="101" t="s">
        <v>2367</v>
      </c>
      <c r="E1033" s="102"/>
      <c r="F1033" s="13" t="s">
        <v>2386</v>
      </c>
      <c r="G1033" s="21">
        <v>1</v>
      </c>
      <c r="H1033" s="21">
        <v>0</v>
      </c>
      <c r="I1033" s="21">
        <f t="shared" si="962"/>
        <v>0</v>
      </c>
      <c r="J1033" s="21">
        <f t="shared" si="963"/>
        <v>0</v>
      </c>
      <c r="K1033" s="21">
        <f t="shared" si="964"/>
        <v>0</v>
      </c>
      <c r="L1033" s="21">
        <v>0</v>
      </c>
      <c r="M1033" s="21">
        <f t="shared" si="965"/>
        <v>0</v>
      </c>
      <c r="N1033" s="35"/>
      <c r="O1033" s="39"/>
      <c r="U1033" s="41">
        <f t="shared" si="966"/>
        <v>0</v>
      </c>
      <c r="W1033" s="41">
        <f t="shared" si="967"/>
        <v>0</v>
      </c>
      <c r="X1033" s="41">
        <f t="shared" si="968"/>
        <v>0</v>
      </c>
      <c r="Y1033" s="41">
        <f t="shared" si="969"/>
        <v>0</v>
      </c>
      <c r="Z1033" s="41">
        <f t="shared" si="970"/>
        <v>0</v>
      </c>
      <c r="AA1033" s="41">
        <f t="shared" si="971"/>
        <v>0</v>
      </c>
      <c r="AB1033" s="41">
        <f t="shared" si="972"/>
        <v>0</v>
      </c>
      <c r="AC1033" s="41">
        <f t="shared" si="973"/>
        <v>0</v>
      </c>
      <c r="AD1033" s="31"/>
      <c r="AE1033" s="21">
        <f t="shared" si="974"/>
        <v>0</v>
      </c>
      <c r="AF1033" s="21">
        <f t="shared" si="975"/>
        <v>0</v>
      </c>
      <c r="AG1033" s="21">
        <f t="shared" si="976"/>
        <v>0</v>
      </c>
      <c r="AI1033" s="41">
        <v>21</v>
      </c>
      <c r="AJ1033" s="41">
        <f t="shared" si="977"/>
        <v>0</v>
      </c>
      <c r="AK1033" s="41">
        <f t="shared" si="978"/>
        <v>0</v>
      </c>
      <c r="AL1033" s="42" t="s">
        <v>8</v>
      </c>
      <c r="AQ1033" s="41">
        <f t="shared" si="979"/>
        <v>0</v>
      </c>
      <c r="AR1033" s="41">
        <f t="shared" si="980"/>
        <v>0</v>
      </c>
      <c r="AS1033" s="41">
        <f t="shared" si="981"/>
        <v>0</v>
      </c>
      <c r="AT1033" s="44" t="s">
        <v>2474</v>
      </c>
      <c r="AU1033" s="44" t="s">
        <v>2485</v>
      </c>
      <c r="AV1033" s="31" t="s">
        <v>2486</v>
      </c>
      <c r="AX1033" s="41">
        <f t="shared" si="982"/>
        <v>0</v>
      </c>
      <c r="AY1033" s="41">
        <f t="shared" si="983"/>
        <v>0</v>
      </c>
      <c r="AZ1033" s="41">
        <v>0</v>
      </c>
      <c r="BA1033" s="41">
        <f t="shared" si="984"/>
        <v>0</v>
      </c>
      <c r="BC1033" s="21">
        <f t="shared" si="985"/>
        <v>0</v>
      </c>
      <c r="BD1033" s="21">
        <f t="shared" si="986"/>
        <v>0</v>
      </c>
      <c r="BE1033" s="21">
        <f t="shared" si="987"/>
        <v>0</v>
      </c>
      <c r="BF1033" s="21" t="s">
        <v>2492</v>
      </c>
      <c r="BG1033" s="41" t="s">
        <v>1581</v>
      </c>
    </row>
    <row r="1034" spans="1:59" x14ac:dyDescent="0.3">
      <c r="A1034" s="4" t="s">
        <v>990</v>
      </c>
      <c r="B1034" s="13"/>
      <c r="C1034" s="13" t="s">
        <v>1611</v>
      </c>
      <c r="D1034" s="101" t="s">
        <v>2368</v>
      </c>
      <c r="E1034" s="102"/>
      <c r="F1034" s="13" t="s">
        <v>2386</v>
      </c>
      <c r="G1034" s="21">
        <v>1</v>
      </c>
      <c r="H1034" s="21">
        <v>0</v>
      </c>
      <c r="I1034" s="21">
        <f t="shared" si="962"/>
        <v>0</v>
      </c>
      <c r="J1034" s="21">
        <f t="shared" si="963"/>
        <v>0</v>
      </c>
      <c r="K1034" s="21">
        <f t="shared" si="964"/>
        <v>0</v>
      </c>
      <c r="L1034" s="21">
        <v>0</v>
      </c>
      <c r="M1034" s="21">
        <f t="shared" si="965"/>
        <v>0</v>
      </c>
      <c r="N1034" s="35"/>
      <c r="O1034" s="39"/>
      <c r="U1034" s="41">
        <f t="shared" si="966"/>
        <v>0</v>
      </c>
      <c r="W1034" s="41">
        <f t="shared" si="967"/>
        <v>0</v>
      </c>
      <c r="X1034" s="41">
        <f t="shared" si="968"/>
        <v>0</v>
      </c>
      <c r="Y1034" s="41">
        <f t="shared" si="969"/>
        <v>0</v>
      </c>
      <c r="Z1034" s="41">
        <f t="shared" si="970"/>
        <v>0</v>
      </c>
      <c r="AA1034" s="41">
        <f t="shared" si="971"/>
        <v>0</v>
      </c>
      <c r="AB1034" s="41">
        <f t="shared" si="972"/>
        <v>0</v>
      </c>
      <c r="AC1034" s="41">
        <f t="shared" si="973"/>
        <v>0</v>
      </c>
      <c r="AD1034" s="31"/>
      <c r="AE1034" s="21">
        <f t="shared" si="974"/>
        <v>0</v>
      </c>
      <c r="AF1034" s="21">
        <f t="shared" si="975"/>
        <v>0</v>
      </c>
      <c r="AG1034" s="21">
        <f t="shared" si="976"/>
        <v>0</v>
      </c>
      <c r="AI1034" s="41">
        <v>21</v>
      </c>
      <c r="AJ1034" s="41">
        <f t="shared" si="977"/>
        <v>0</v>
      </c>
      <c r="AK1034" s="41">
        <f t="shared" si="978"/>
        <v>0</v>
      </c>
      <c r="AL1034" s="42" t="s">
        <v>8</v>
      </c>
      <c r="AQ1034" s="41">
        <f t="shared" si="979"/>
        <v>0</v>
      </c>
      <c r="AR1034" s="41">
        <f t="shared" si="980"/>
        <v>0</v>
      </c>
      <c r="AS1034" s="41">
        <f t="shared" si="981"/>
        <v>0</v>
      </c>
      <c r="AT1034" s="44" t="s">
        <v>2474</v>
      </c>
      <c r="AU1034" s="44" t="s">
        <v>2485</v>
      </c>
      <c r="AV1034" s="31" t="s">
        <v>2486</v>
      </c>
      <c r="AX1034" s="41">
        <f t="shared" si="982"/>
        <v>0</v>
      </c>
      <c r="AY1034" s="41">
        <f t="shared" si="983"/>
        <v>0</v>
      </c>
      <c r="AZ1034" s="41">
        <v>0</v>
      </c>
      <c r="BA1034" s="41">
        <f t="shared" si="984"/>
        <v>0</v>
      </c>
      <c r="BC1034" s="21">
        <f t="shared" si="985"/>
        <v>0</v>
      </c>
      <c r="BD1034" s="21">
        <f t="shared" si="986"/>
        <v>0</v>
      </c>
      <c r="BE1034" s="21">
        <f t="shared" si="987"/>
        <v>0</v>
      </c>
      <c r="BF1034" s="21" t="s">
        <v>2492</v>
      </c>
      <c r="BG1034" s="41" t="s">
        <v>1581</v>
      </c>
    </row>
    <row r="1035" spans="1:59" x14ac:dyDescent="0.3">
      <c r="A1035" s="4" t="s">
        <v>991</v>
      </c>
      <c r="B1035" s="13"/>
      <c r="C1035" s="13" t="s">
        <v>1612</v>
      </c>
      <c r="D1035" s="101" t="s">
        <v>2369</v>
      </c>
      <c r="E1035" s="102"/>
      <c r="F1035" s="13" t="s">
        <v>2386</v>
      </c>
      <c r="G1035" s="21">
        <v>1</v>
      </c>
      <c r="H1035" s="21">
        <v>0</v>
      </c>
      <c r="I1035" s="21">
        <f t="shared" si="962"/>
        <v>0</v>
      </c>
      <c r="J1035" s="21">
        <f t="shared" si="963"/>
        <v>0</v>
      </c>
      <c r="K1035" s="21">
        <f t="shared" si="964"/>
        <v>0</v>
      </c>
      <c r="L1035" s="21">
        <v>0</v>
      </c>
      <c r="M1035" s="21">
        <f t="shared" si="965"/>
        <v>0</v>
      </c>
      <c r="N1035" s="35"/>
      <c r="O1035" s="39"/>
      <c r="U1035" s="41">
        <f t="shared" si="966"/>
        <v>0</v>
      </c>
      <c r="W1035" s="41">
        <f t="shared" si="967"/>
        <v>0</v>
      </c>
      <c r="X1035" s="41">
        <f t="shared" si="968"/>
        <v>0</v>
      </c>
      <c r="Y1035" s="41">
        <f t="shared" si="969"/>
        <v>0</v>
      </c>
      <c r="Z1035" s="41">
        <f t="shared" si="970"/>
        <v>0</v>
      </c>
      <c r="AA1035" s="41">
        <f t="shared" si="971"/>
        <v>0</v>
      </c>
      <c r="AB1035" s="41">
        <f t="shared" si="972"/>
        <v>0</v>
      </c>
      <c r="AC1035" s="41">
        <f t="shared" si="973"/>
        <v>0</v>
      </c>
      <c r="AD1035" s="31"/>
      <c r="AE1035" s="21">
        <f t="shared" si="974"/>
        <v>0</v>
      </c>
      <c r="AF1035" s="21">
        <f t="shared" si="975"/>
        <v>0</v>
      </c>
      <c r="AG1035" s="21">
        <f t="shared" si="976"/>
        <v>0</v>
      </c>
      <c r="AI1035" s="41">
        <v>21</v>
      </c>
      <c r="AJ1035" s="41">
        <f t="shared" si="977"/>
        <v>0</v>
      </c>
      <c r="AK1035" s="41">
        <f t="shared" si="978"/>
        <v>0</v>
      </c>
      <c r="AL1035" s="42" t="s">
        <v>8</v>
      </c>
      <c r="AQ1035" s="41">
        <f t="shared" si="979"/>
        <v>0</v>
      </c>
      <c r="AR1035" s="41">
        <f t="shared" si="980"/>
        <v>0</v>
      </c>
      <c r="AS1035" s="41">
        <f t="shared" si="981"/>
        <v>0</v>
      </c>
      <c r="AT1035" s="44" t="s">
        <v>2474</v>
      </c>
      <c r="AU1035" s="44" t="s">
        <v>2485</v>
      </c>
      <c r="AV1035" s="31" t="s">
        <v>2486</v>
      </c>
      <c r="AX1035" s="41">
        <f t="shared" si="982"/>
        <v>0</v>
      </c>
      <c r="AY1035" s="41">
        <f t="shared" si="983"/>
        <v>0</v>
      </c>
      <c r="AZ1035" s="41">
        <v>0</v>
      </c>
      <c r="BA1035" s="41">
        <f t="shared" si="984"/>
        <v>0</v>
      </c>
      <c r="BC1035" s="21">
        <f t="shared" si="985"/>
        <v>0</v>
      </c>
      <c r="BD1035" s="21">
        <f t="shared" si="986"/>
        <v>0</v>
      </c>
      <c r="BE1035" s="21">
        <f t="shared" si="987"/>
        <v>0</v>
      </c>
      <c r="BF1035" s="21" t="s">
        <v>2492</v>
      </c>
      <c r="BG1035" s="41" t="s">
        <v>1581</v>
      </c>
    </row>
    <row r="1036" spans="1:59" x14ac:dyDescent="0.3">
      <c r="A1036" s="4" t="s">
        <v>992</v>
      </c>
      <c r="B1036" s="13"/>
      <c r="C1036" s="13" t="s">
        <v>1613</v>
      </c>
      <c r="D1036" s="101" t="s">
        <v>2370</v>
      </c>
      <c r="E1036" s="102"/>
      <c r="F1036" s="13" t="s">
        <v>2386</v>
      </c>
      <c r="G1036" s="21">
        <v>1</v>
      </c>
      <c r="H1036" s="21">
        <v>0</v>
      </c>
      <c r="I1036" s="21">
        <f t="shared" si="962"/>
        <v>0</v>
      </c>
      <c r="J1036" s="21">
        <f t="shared" si="963"/>
        <v>0</v>
      </c>
      <c r="K1036" s="21">
        <f t="shared" si="964"/>
        <v>0</v>
      </c>
      <c r="L1036" s="21">
        <v>0</v>
      </c>
      <c r="M1036" s="21">
        <f t="shared" si="965"/>
        <v>0</v>
      </c>
      <c r="N1036" s="35"/>
      <c r="O1036" s="39"/>
      <c r="U1036" s="41">
        <f t="shared" si="966"/>
        <v>0</v>
      </c>
      <c r="W1036" s="41">
        <f t="shared" si="967"/>
        <v>0</v>
      </c>
      <c r="X1036" s="41">
        <f t="shared" si="968"/>
        <v>0</v>
      </c>
      <c r="Y1036" s="41">
        <f t="shared" si="969"/>
        <v>0</v>
      </c>
      <c r="Z1036" s="41">
        <f t="shared" si="970"/>
        <v>0</v>
      </c>
      <c r="AA1036" s="41">
        <f t="shared" si="971"/>
        <v>0</v>
      </c>
      <c r="AB1036" s="41">
        <f t="shared" si="972"/>
        <v>0</v>
      </c>
      <c r="AC1036" s="41">
        <f t="shared" si="973"/>
        <v>0</v>
      </c>
      <c r="AD1036" s="31"/>
      <c r="AE1036" s="21">
        <f t="shared" si="974"/>
        <v>0</v>
      </c>
      <c r="AF1036" s="21">
        <f t="shared" si="975"/>
        <v>0</v>
      </c>
      <c r="AG1036" s="21">
        <f t="shared" si="976"/>
        <v>0</v>
      </c>
      <c r="AI1036" s="41">
        <v>21</v>
      </c>
      <c r="AJ1036" s="41">
        <f t="shared" si="977"/>
        <v>0</v>
      </c>
      <c r="AK1036" s="41">
        <f t="shared" si="978"/>
        <v>0</v>
      </c>
      <c r="AL1036" s="42" t="s">
        <v>8</v>
      </c>
      <c r="AQ1036" s="41">
        <f t="shared" si="979"/>
        <v>0</v>
      </c>
      <c r="AR1036" s="41">
        <f t="shared" si="980"/>
        <v>0</v>
      </c>
      <c r="AS1036" s="41">
        <f t="shared" si="981"/>
        <v>0</v>
      </c>
      <c r="AT1036" s="44" t="s">
        <v>2474</v>
      </c>
      <c r="AU1036" s="44" t="s">
        <v>2485</v>
      </c>
      <c r="AV1036" s="31" t="s">
        <v>2486</v>
      </c>
      <c r="AX1036" s="41">
        <f t="shared" si="982"/>
        <v>0</v>
      </c>
      <c r="AY1036" s="41">
        <f t="shared" si="983"/>
        <v>0</v>
      </c>
      <c r="AZ1036" s="41">
        <v>0</v>
      </c>
      <c r="BA1036" s="41">
        <f t="shared" si="984"/>
        <v>0</v>
      </c>
      <c r="BC1036" s="21">
        <f t="shared" si="985"/>
        <v>0</v>
      </c>
      <c r="BD1036" s="21">
        <f t="shared" si="986"/>
        <v>0</v>
      </c>
      <c r="BE1036" s="21">
        <f t="shared" si="987"/>
        <v>0</v>
      </c>
      <c r="BF1036" s="21" t="s">
        <v>2492</v>
      </c>
      <c r="BG1036" s="41" t="s">
        <v>1581</v>
      </c>
    </row>
    <row r="1037" spans="1:59" x14ac:dyDescent="0.3">
      <c r="A1037" s="4" t="s">
        <v>993</v>
      </c>
      <c r="B1037" s="13"/>
      <c r="C1037" s="13" t="s">
        <v>1614</v>
      </c>
      <c r="D1037" s="101" t="s">
        <v>2371</v>
      </c>
      <c r="E1037" s="102"/>
      <c r="F1037" s="13" t="s">
        <v>2386</v>
      </c>
      <c r="G1037" s="21">
        <v>1</v>
      </c>
      <c r="H1037" s="21">
        <v>0</v>
      </c>
      <c r="I1037" s="21">
        <f t="shared" si="962"/>
        <v>0</v>
      </c>
      <c r="J1037" s="21">
        <f t="shared" si="963"/>
        <v>0</v>
      </c>
      <c r="K1037" s="21">
        <f t="shared" si="964"/>
        <v>0</v>
      </c>
      <c r="L1037" s="21">
        <v>0</v>
      </c>
      <c r="M1037" s="21">
        <f t="shared" si="965"/>
        <v>0</v>
      </c>
      <c r="N1037" s="35"/>
      <c r="O1037" s="39"/>
      <c r="U1037" s="41">
        <f t="shared" si="966"/>
        <v>0</v>
      </c>
      <c r="W1037" s="41">
        <f t="shared" si="967"/>
        <v>0</v>
      </c>
      <c r="X1037" s="41">
        <f t="shared" si="968"/>
        <v>0</v>
      </c>
      <c r="Y1037" s="41">
        <f t="shared" si="969"/>
        <v>0</v>
      </c>
      <c r="Z1037" s="41">
        <f t="shared" si="970"/>
        <v>0</v>
      </c>
      <c r="AA1037" s="41">
        <f t="shared" si="971"/>
        <v>0</v>
      </c>
      <c r="AB1037" s="41">
        <f t="shared" si="972"/>
        <v>0</v>
      </c>
      <c r="AC1037" s="41">
        <f t="shared" si="973"/>
        <v>0</v>
      </c>
      <c r="AD1037" s="31"/>
      <c r="AE1037" s="21">
        <f t="shared" si="974"/>
        <v>0</v>
      </c>
      <c r="AF1037" s="21">
        <f t="shared" si="975"/>
        <v>0</v>
      </c>
      <c r="AG1037" s="21">
        <f t="shared" si="976"/>
        <v>0</v>
      </c>
      <c r="AI1037" s="41">
        <v>21</v>
      </c>
      <c r="AJ1037" s="41">
        <f t="shared" si="977"/>
        <v>0</v>
      </c>
      <c r="AK1037" s="41">
        <f t="shared" si="978"/>
        <v>0</v>
      </c>
      <c r="AL1037" s="42" t="s">
        <v>8</v>
      </c>
      <c r="AQ1037" s="41">
        <f t="shared" si="979"/>
        <v>0</v>
      </c>
      <c r="AR1037" s="41">
        <f t="shared" si="980"/>
        <v>0</v>
      </c>
      <c r="AS1037" s="41">
        <f t="shared" si="981"/>
        <v>0</v>
      </c>
      <c r="AT1037" s="44" t="s">
        <v>2474</v>
      </c>
      <c r="AU1037" s="44" t="s">
        <v>2485</v>
      </c>
      <c r="AV1037" s="31" t="s">
        <v>2486</v>
      </c>
      <c r="AX1037" s="41">
        <f t="shared" si="982"/>
        <v>0</v>
      </c>
      <c r="AY1037" s="41">
        <f t="shared" si="983"/>
        <v>0</v>
      </c>
      <c r="AZ1037" s="41">
        <v>0</v>
      </c>
      <c r="BA1037" s="41">
        <f t="shared" si="984"/>
        <v>0</v>
      </c>
      <c r="BC1037" s="21">
        <f t="shared" si="985"/>
        <v>0</v>
      </c>
      <c r="BD1037" s="21">
        <f t="shared" si="986"/>
        <v>0</v>
      </c>
      <c r="BE1037" s="21">
        <f t="shared" si="987"/>
        <v>0</v>
      </c>
      <c r="BF1037" s="21" t="s">
        <v>2492</v>
      </c>
      <c r="BG1037" s="41" t="s">
        <v>1581</v>
      </c>
    </row>
    <row r="1038" spans="1:59" x14ac:dyDescent="0.3">
      <c r="A1038" s="4" t="s">
        <v>994</v>
      </c>
      <c r="B1038" s="13"/>
      <c r="C1038" s="13" t="s">
        <v>1615</v>
      </c>
      <c r="D1038" s="101" t="s">
        <v>1738</v>
      </c>
      <c r="E1038" s="102"/>
      <c r="F1038" s="13" t="s">
        <v>2386</v>
      </c>
      <c r="G1038" s="21">
        <v>1</v>
      </c>
      <c r="H1038" s="21">
        <v>0</v>
      </c>
      <c r="I1038" s="21">
        <f t="shared" si="962"/>
        <v>0</v>
      </c>
      <c r="J1038" s="21">
        <f t="shared" si="963"/>
        <v>0</v>
      </c>
      <c r="K1038" s="21">
        <f t="shared" si="964"/>
        <v>0</v>
      </c>
      <c r="L1038" s="21">
        <v>0</v>
      </c>
      <c r="M1038" s="21">
        <f t="shared" si="965"/>
        <v>0</v>
      </c>
      <c r="N1038" s="35"/>
      <c r="O1038" s="39"/>
      <c r="U1038" s="41">
        <f t="shared" si="966"/>
        <v>0</v>
      </c>
      <c r="W1038" s="41">
        <f t="shared" si="967"/>
        <v>0</v>
      </c>
      <c r="X1038" s="41">
        <f t="shared" si="968"/>
        <v>0</v>
      </c>
      <c r="Y1038" s="41">
        <f t="shared" si="969"/>
        <v>0</v>
      </c>
      <c r="Z1038" s="41">
        <f t="shared" si="970"/>
        <v>0</v>
      </c>
      <c r="AA1038" s="41">
        <f t="shared" si="971"/>
        <v>0</v>
      </c>
      <c r="AB1038" s="41">
        <f t="shared" si="972"/>
        <v>0</v>
      </c>
      <c r="AC1038" s="41">
        <f t="shared" si="973"/>
        <v>0</v>
      </c>
      <c r="AD1038" s="31"/>
      <c r="AE1038" s="21">
        <f t="shared" si="974"/>
        <v>0</v>
      </c>
      <c r="AF1038" s="21">
        <f t="shared" si="975"/>
        <v>0</v>
      </c>
      <c r="AG1038" s="21">
        <f t="shared" si="976"/>
        <v>0</v>
      </c>
      <c r="AI1038" s="41">
        <v>21</v>
      </c>
      <c r="AJ1038" s="41">
        <f t="shared" si="977"/>
        <v>0</v>
      </c>
      <c r="AK1038" s="41">
        <f t="shared" si="978"/>
        <v>0</v>
      </c>
      <c r="AL1038" s="42" t="s">
        <v>8</v>
      </c>
      <c r="AQ1038" s="41">
        <f t="shared" si="979"/>
        <v>0</v>
      </c>
      <c r="AR1038" s="41">
        <f t="shared" si="980"/>
        <v>0</v>
      </c>
      <c r="AS1038" s="41">
        <f t="shared" si="981"/>
        <v>0</v>
      </c>
      <c r="AT1038" s="44" t="s">
        <v>2474</v>
      </c>
      <c r="AU1038" s="44" t="s">
        <v>2485</v>
      </c>
      <c r="AV1038" s="31" t="s">
        <v>2486</v>
      </c>
      <c r="AX1038" s="41">
        <f t="shared" si="982"/>
        <v>0</v>
      </c>
      <c r="AY1038" s="41">
        <f t="shared" si="983"/>
        <v>0</v>
      </c>
      <c r="AZ1038" s="41">
        <v>0</v>
      </c>
      <c r="BA1038" s="41">
        <f t="shared" si="984"/>
        <v>0</v>
      </c>
      <c r="BC1038" s="21">
        <f t="shared" si="985"/>
        <v>0</v>
      </c>
      <c r="BD1038" s="21">
        <f t="shared" si="986"/>
        <v>0</v>
      </c>
      <c r="BE1038" s="21">
        <f t="shared" si="987"/>
        <v>0</v>
      </c>
      <c r="BF1038" s="21" t="s">
        <v>2492</v>
      </c>
      <c r="BG1038" s="41" t="s">
        <v>1581</v>
      </c>
    </row>
    <row r="1039" spans="1:59" x14ac:dyDescent="0.3">
      <c r="A1039" s="4" t="s">
        <v>995</v>
      </c>
      <c r="B1039" s="13"/>
      <c r="C1039" s="13" t="s">
        <v>1616</v>
      </c>
      <c r="D1039" s="101" t="s">
        <v>2372</v>
      </c>
      <c r="E1039" s="102"/>
      <c r="F1039" s="13" t="s">
        <v>2386</v>
      </c>
      <c r="G1039" s="21">
        <v>1</v>
      </c>
      <c r="H1039" s="21">
        <v>0</v>
      </c>
      <c r="I1039" s="21">
        <f t="shared" si="962"/>
        <v>0</v>
      </c>
      <c r="J1039" s="21">
        <f t="shared" si="963"/>
        <v>0</v>
      </c>
      <c r="K1039" s="21">
        <f t="shared" si="964"/>
        <v>0</v>
      </c>
      <c r="L1039" s="21">
        <v>0</v>
      </c>
      <c r="M1039" s="21">
        <f t="shared" si="965"/>
        <v>0</v>
      </c>
      <c r="N1039" s="35"/>
      <c r="O1039" s="39"/>
      <c r="U1039" s="41">
        <f t="shared" si="966"/>
        <v>0</v>
      </c>
      <c r="W1039" s="41">
        <f t="shared" si="967"/>
        <v>0</v>
      </c>
      <c r="X1039" s="41">
        <f t="shared" si="968"/>
        <v>0</v>
      </c>
      <c r="Y1039" s="41">
        <f t="shared" si="969"/>
        <v>0</v>
      </c>
      <c r="Z1039" s="41">
        <f t="shared" si="970"/>
        <v>0</v>
      </c>
      <c r="AA1039" s="41">
        <f t="shared" si="971"/>
        <v>0</v>
      </c>
      <c r="AB1039" s="41">
        <f t="shared" si="972"/>
        <v>0</v>
      </c>
      <c r="AC1039" s="41">
        <f t="shared" si="973"/>
        <v>0</v>
      </c>
      <c r="AD1039" s="31"/>
      <c r="AE1039" s="21">
        <f t="shared" si="974"/>
        <v>0</v>
      </c>
      <c r="AF1039" s="21">
        <f t="shared" si="975"/>
        <v>0</v>
      </c>
      <c r="AG1039" s="21">
        <f t="shared" si="976"/>
        <v>0</v>
      </c>
      <c r="AI1039" s="41">
        <v>21</v>
      </c>
      <c r="AJ1039" s="41">
        <f t="shared" si="977"/>
        <v>0</v>
      </c>
      <c r="AK1039" s="41">
        <f t="shared" si="978"/>
        <v>0</v>
      </c>
      <c r="AL1039" s="42" t="s">
        <v>8</v>
      </c>
      <c r="AQ1039" s="41">
        <f t="shared" si="979"/>
        <v>0</v>
      </c>
      <c r="AR1039" s="41">
        <f t="shared" si="980"/>
        <v>0</v>
      </c>
      <c r="AS1039" s="41">
        <f t="shared" si="981"/>
        <v>0</v>
      </c>
      <c r="AT1039" s="44" t="s">
        <v>2474</v>
      </c>
      <c r="AU1039" s="44" t="s">
        <v>2485</v>
      </c>
      <c r="AV1039" s="31" t="s">
        <v>2486</v>
      </c>
      <c r="AX1039" s="41">
        <f t="shared" si="982"/>
        <v>0</v>
      </c>
      <c r="AY1039" s="41">
        <f t="shared" si="983"/>
        <v>0</v>
      </c>
      <c r="AZ1039" s="41">
        <v>0</v>
      </c>
      <c r="BA1039" s="41">
        <f t="shared" si="984"/>
        <v>0</v>
      </c>
      <c r="BC1039" s="21">
        <f t="shared" si="985"/>
        <v>0</v>
      </c>
      <c r="BD1039" s="21">
        <f t="shared" si="986"/>
        <v>0</v>
      </c>
      <c r="BE1039" s="21">
        <f t="shared" si="987"/>
        <v>0</v>
      </c>
      <c r="BF1039" s="21" t="s">
        <v>2492</v>
      </c>
      <c r="BG1039" s="41" t="s">
        <v>1581</v>
      </c>
    </row>
    <row r="1040" spans="1:59" x14ac:dyDescent="0.3">
      <c r="A1040" s="4" t="s">
        <v>996</v>
      </c>
      <c r="B1040" s="13"/>
      <c r="C1040" s="13" t="s">
        <v>1617</v>
      </c>
      <c r="D1040" s="101" t="s">
        <v>2373</v>
      </c>
      <c r="E1040" s="102"/>
      <c r="F1040" s="13" t="s">
        <v>2386</v>
      </c>
      <c r="G1040" s="21">
        <v>1</v>
      </c>
      <c r="H1040" s="21">
        <v>0</v>
      </c>
      <c r="I1040" s="21">
        <f t="shared" si="962"/>
        <v>0</v>
      </c>
      <c r="J1040" s="21">
        <f t="shared" si="963"/>
        <v>0</v>
      </c>
      <c r="K1040" s="21">
        <f t="shared" si="964"/>
        <v>0</v>
      </c>
      <c r="L1040" s="21">
        <v>0</v>
      </c>
      <c r="M1040" s="21">
        <f t="shared" si="965"/>
        <v>0</v>
      </c>
      <c r="N1040" s="35"/>
      <c r="O1040" s="39"/>
      <c r="U1040" s="41">
        <f t="shared" si="966"/>
        <v>0</v>
      </c>
      <c r="W1040" s="41">
        <f t="shared" si="967"/>
        <v>0</v>
      </c>
      <c r="X1040" s="41">
        <f t="shared" si="968"/>
        <v>0</v>
      </c>
      <c r="Y1040" s="41">
        <f t="shared" si="969"/>
        <v>0</v>
      </c>
      <c r="Z1040" s="41">
        <f t="shared" si="970"/>
        <v>0</v>
      </c>
      <c r="AA1040" s="41">
        <f t="shared" si="971"/>
        <v>0</v>
      </c>
      <c r="AB1040" s="41">
        <f t="shared" si="972"/>
        <v>0</v>
      </c>
      <c r="AC1040" s="41">
        <f t="shared" si="973"/>
        <v>0</v>
      </c>
      <c r="AD1040" s="31"/>
      <c r="AE1040" s="21">
        <f t="shared" si="974"/>
        <v>0</v>
      </c>
      <c r="AF1040" s="21">
        <f t="shared" si="975"/>
        <v>0</v>
      </c>
      <c r="AG1040" s="21">
        <f t="shared" si="976"/>
        <v>0</v>
      </c>
      <c r="AI1040" s="41">
        <v>21</v>
      </c>
      <c r="AJ1040" s="41">
        <f t="shared" si="977"/>
        <v>0</v>
      </c>
      <c r="AK1040" s="41">
        <f t="shared" si="978"/>
        <v>0</v>
      </c>
      <c r="AL1040" s="42" t="s">
        <v>8</v>
      </c>
      <c r="AQ1040" s="41">
        <f t="shared" si="979"/>
        <v>0</v>
      </c>
      <c r="AR1040" s="41">
        <f t="shared" si="980"/>
        <v>0</v>
      </c>
      <c r="AS1040" s="41">
        <f t="shared" si="981"/>
        <v>0</v>
      </c>
      <c r="AT1040" s="44" t="s">
        <v>2474</v>
      </c>
      <c r="AU1040" s="44" t="s">
        <v>2485</v>
      </c>
      <c r="AV1040" s="31" t="s">
        <v>2486</v>
      </c>
      <c r="AX1040" s="41">
        <f t="shared" si="982"/>
        <v>0</v>
      </c>
      <c r="AY1040" s="41">
        <f t="shared" si="983"/>
        <v>0</v>
      </c>
      <c r="AZ1040" s="41">
        <v>0</v>
      </c>
      <c r="BA1040" s="41">
        <f t="shared" si="984"/>
        <v>0</v>
      </c>
      <c r="BC1040" s="21">
        <f t="shared" si="985"/>
        <v>0</v>
      </c>
      <c r="BD1040" s="21">
        <f t="shared" si="986"/>
        <v>0</v>
      </c>
      <c r="BE1040" s="21">
        <f t="shared" si="987"/>
        <v>0</v>
      </c>
      <c r="BF1040" s="21" t="s">
        <v>2492</v>
      </c>
      <c r="BG1040" s="41" t="s">
        <v>1581</v>
      </c>
    </row>
    <row r="1041" spans="1:59" x14ac:dyDescent="0.3">
      <c r="A1041" s="4" t="s">
        <v>997</v>
      </c>
      <c r="B1041" s="13"/>
      <c r="C1041" s="13" t="s">
        <v>1618</v>
      </c>
      <c r="D1041" s="101" t="s">
        <v>2374</v>
      </c>
      <c r="E1041" s="102"/>
      <c r="F1041" s="13" t="s">
        <v>2386</v>
      </c>
      <c r="G1041" s="21">
        <v>1</v>
      </c>
      <c r="H1041" s="21">
        <v>0</v>
      </c>
      <c r="I1041" s="21">
        <f t="shared" si="962"/>
        <v>0</v>
      </c>
      <c r="J1041" s="21">
        <f t="shared" si="963"/>
        <v>0</v>
      </c>
      <c r="K1041" s="21">
        <f t="shared" si="964"/>
        <v>0</v>
      </c>
      <c r="L1041" s="21">
        <v>0</v>
      </c>
      <c r="M1041" s="21">
        <f t="shared" si="965"/>
        <v>0</v>
      </c>
      <c r="N1041" s="35"/>
      <c r="O1041" s="39"/>
      <c r="U1041" s="41">
        <f t="shared" si="966"/>
        <v>0</v>
      </c>
      <c r="W1041" s="41">
        <f t="shared" si="967"/>
        <v>0</v>
      </c>
      <c r="X1041" s="41">
        <f t="shared" si="968"/>
        <v>0</v>
      </c>
      <c r="Y1041" s="41">
        <f t="shared" si="969"/>
        <v>0</v>
      </c>
      <c r="Z1041" s="41">
        <f t="shared" si="970"/>
        <v>0</v>
      </c>
      <c r="AA1041" s="41">
        <f t="shared" si="971"/>
        <v>0</v>
      </c>
      <c r="AB1041" s="41">
        <f t="shared" si="972"/>
        <v>0</v>
      </c>
      <c r="AC1041" s="41">
        <f t="shared" si="973"/>
        <v>0</v>
      </c>
      <c r="AD1041" s="31"/>
      <c r="AE1041" s="21">
        <f t="shared" si="974"/>
        <v>0</v>
      </c>
      <c r="AF1041" s="21">
        <f t="shared" si="975"/>
        <v>0</v>
      </c>
      <c r="AG1041" s="21">
        <f t="shared" si="976"/>
        <v>0</v>
      </c>
      <c r="AI1041" s="41">
        <v>21</v>
      </c>
      <c r="AJ1041" s="41">
        <f t="shared" si="977"/>
        <v>0</v>
      </c>
      <c r="AK1041" s="41">
        <f t="shared" si="978"/>
        <v>0</v>
      </c>
      <c r="AL1041" s="42" t="s">
        <v>8</v>
      </c>
      <c r="AQ1041" s="41">
        <f t="shared" si="979"/>
        <v>0</v>
      </c>
      <c r="AR1041" s="41">
        <f t="shared" si="980"/>
        <v>0</v>
      </c>
      <c r="AS1041" s="41">
        <f t="shared" si="981"/>
        <v>0</v>
      </c>
      <c r="AT1041" s="44" t="s">
        <v>2474</v>
      </c>
      <c r="AU1041" s="44" t="s">
        <v>2485</v>
      </c>
      <c r="AV1041" s="31" t="s">
        <v>2486</v>
      </c>
      <c r="AX1041" s="41">
        <f t="shared" si="982"/>
        <v>0</v>
      </c>
      <c r="AY1041" s="41">
        <f t="shared" si="983"/>
        <v>0</v>
      </c>
      <c r="AZ1041" s="41">
        <v>0</v>
      </c>
      <c r="BA1041" s="41">
        <f t="shared" si="984"/>
        <v>0</v>
      </c>
      <c r="BC1041" s="21">
        <f t="shared" si="985"/>
        <v>0</v>
      </c>
      <c r="BD1041" s="21">
        <f t="shared" si="986"/>
        <v>0</v>
      </c>
      <c r="BE1041" s="21">
        <f t="shared" si="987"/>
        <v>0</v>
      </c>
      <c r="BF1041" s="21" t="s">
        <v>2492</v>
      </c>
      <c r="BG1041" s="41" t="s">
        <v>1581</v>
      </c>
    </row>
    <row r="1042" spans="1:59" x14ac:dyDescent="0.3">
      <c r="A1042" s="4" t="s">
        <v>998</v>
      </c>
      <c r="B1042" s="13"/>
      <c r="C1042" s="13" t="s">
        <v>1619</v>
      </c>
      <c r="D1042" s="101" t="s">
        <v>2375</v>
      </c>
      <c r="E1042" s="102"/>
      <c r="F1042" s="13" t="s">
        <v>2386</v>
      </c>
      <c r="G1042" s="21">
        <v>1</v>
      </c>
      <c r="H1042" s="21">
        <v>0</v>
      </c>
      <c r="I1042" s="21">
        <f t="shared" si="962"/>
        <v>0</v>
      </c>
      <c r="J1042" s="21">
        <f t="shared" si="963"/>
        <v>0</v>
      </c>
      <c r="K1042" s="21">
        <f t="shared" si="964"/>
        <v>0</v>
      </c>
      <c r="L1042" s="21">
        <v>0</v>
      </c>
      <c r="M1042" s="21">
        <f t="shared" si="965"/>
        <v>0</v>
      </c>
      <c r="N1042" s="35"/>
      <c r="O1042" s="39"/>
      <c r="U1042" s="41">
        <f t="shared" si="966"/>
        <v>0</v>
      </c>
      <c r="W1042" s="41">
        <f t="shared" si="967"/>
        <v>0</v>
      </c>
      <c r="X1042" s="41">
        <f t="shared" si="968"/>
        <v>0</v>
      </c>
      <c r="Y1042" s="41">
        <f t="shared" si="969"/>
        <v>0</v>
      </c>
      <c r="Z1042" s="41">
        <f t="shared" si="970"/>
        <v>0</v>
      </c>
      <c r="AA1042" s="41">
        <f t="shared" si="971"/>
        <v>0</v>
      </c>
      <c r="AB1042" s="41">
        <f t="shared" si="972"/>
        <v>0</v>
      </c>
      <c r="AC1042" s="41">
        <f t="shared" si="973"/>
        <v>0</v>
      </c>
      <c r="AD1042" s="31"/>
      <c r="AE1042" s="21">
        <f t="shared" si="974"/>
        <v>0</v>
      </c>
      <c r="AF1042" s="21">
        <f t="shared" si="975"/>
        <v>0</v>
      </c>
      <c r="AG1042" s="21">
        <f t="shared" si="976"/>
        <v>0</v>
      </c>
      <c r="AI1042" s="41">
        <v>21</v>
      </c>
      <c r="AJ1042" s="41">
        <f t="shared" si="977"/>
        <v>0</v>
      </c>
      <c r="AK1042" s="41">
        <f t="shared" si="978"/>
        <v>0</v>
      </c>
      <c r="AL1042" s="42" t="s">
        <v>8</v>
      </c>
      <c r="AQ1042" s="41">
        <f t="shared" si="979"/>
        <v>0</v>
      </c>
      <c r="AR1042" s="41">
        <f t="shared" si="980"/>
        <v>0</v>
      </c>
      <c r="AS1042" s="41">
        <f t="shared" si="981"/>
        <v>0</v>
      </c>
      <c r="AT1042" s="44" t="s">
        <v>2474</v>
      </c>
      <c r="AU1042" s="44" t="s">
        <v>2485</v>
      </c>
      <c r="AV1042" s="31" t="s">
        <v>2486</v>
      </c>
      <c r="AX1042" s="41">
        <f t="shared" si="982"/>
        <v>0</v>
      </c>
      <c r="AY1042" s="41">
        <f t="shared" si="983"/>
        <v>0</v>
      </c>
      <c r="AZ1042" s="41">
        <v>0</v>
      </c>
      <c r="BA1042" s="41">
        <f t="shared" si="984"/>
        <v>0</v>
      </c>
      <c r="BC1042" s="21">
        <f t="shared" si="985"/>
        <v>0</v>
      </c>
      <c r="BD1042" s="21">
        <f t="shared" si="986"/>
        <v>0</v>
      </c>
      <c r="BE1042" s="21">
        <f t="shared" si="987"/>
        <v>0</v>
      </c>
      <c r="BF1042" s="21" t="s">
        <v>2492</v>
      </c>
      <c r="BG1042" s="41" t="s">
        <v>1581</v>
      </c>
    </row>
    <row r="1043" spans="1:59" x14ac:dyDescent="0.3">
      <c r="A1043" s="4" t="s">
        <v>999</v>
      </c>
      <c r="B1043" s="13"/>
      <c r="C1043" s="13" t="s">
        <v>1620</v>
      </c>
      <c r="D1043" s="101" t="s">
        <v>2376</v>
      </c>
      <c r="E1043" s="102"/>
      <c r="F1043" s="13" t="s">
        <v>2386</v>
      </c>
      <c r="G1043" s="21">
        <v>1</v>
      </c>
      <c r="H1043" s="21">
        <v>0</v>
      </c>
      <c r="I1043" s="21">
        <f t="shared" si="962"/>
        <v>0</v>
      </c>
      <c r="J1043" s="21">
        <f t="shared" si="963"/>
        <v>0</v>
      </c>
      <c r="K1043" s="21">
        <f t="shared" si="964"/>
        <v>0</v>
      </c>
      <c r="L1043" s="21">
        <v>0</v>
      </c>
      <c r="M1043" s="21">
        <f t="shared" si="965"/>
        <v>0</v>
      </c>
      <c r="N1043" s="35"/>
      <c r="O1043" s="39"/>
      <c r="U1043" s="41">
        <f t="shared" si="966"/>
        <v>0</v>
      </c>
      <c r="W1043" s="41">
        <f t="shared" si="967"/>
        <v>0</v>
      </c>
      <c r="X1043" s="41">
        <f t="shared" si="968"/>
        <v>0</v>
      </c>
      <c r="Y1043" s="41">
        <f t="shared" si="969"/>
        <v>0</v>
      </c>
      <c r="Z1043" s="41">
        <f t="shared" si="970"/>
        <v>0</v>
      </c>
      <c r="AA1043" s="41">
        <f t="shared" si="971"/>
        <v>0</v>
      </c>
      <c r="AB1043" s="41">
        <f t="shared" si="972"/>
        <v>0</v>
      </c>
      <c r="AC1043" s="41">
        <f t="shared" si="973"/>
        <v>0</v>
      </c>
      <c r="AD1043" s="31"/>
      <c r="AE1043" s="21">
        <f t="shared" si="974"/>
        <v>0</v>
      </c>
      <c r="AF1043" s="21">
        <f t="shared" si="975"/>
        <v>0</v>
      </c>
      <c r="AG1043" s="21">
        <f t="shared" si="976"/>
        <v>0</v>
      </c>
      <c r="AI1043" s="41">
        <v>21</v>
      </c>
      <c r="AJ1043" s="41">
        <f t="shared" si="977"/>
        <v>0</v>
      </c>
      <c r="AK1043" s="41">
        <f t="shared" si="978"/>
        <v>0</v>
      </c>
      <c r="AL1043" s="42" t="s">
        <v>8</v>
      </c>
      <c r="AQ1043" s="41">
        <f t="shared" si="979"/>
        <v>0</v>
      </c>
      <c r="AR1043" s="41">
        <f t="shared" si="980"/>
        <v>0</v>
      </c>
      <c r="AS1043" s="41">
        <f t="shared" si="981"/>
        <v>0</v>
      </c>
      <c r="AT1043" s="44" t="s">
        <v>2474</v>
      </c>
      <c r="AU1043" s="44" t="s">
        <v>2485</v>
      </c>
      <c r="AV1043" s="31" t="s">
        <v>2486</v>
      </c>
      <c r="AX1043" s="41">
        <f t="shared" si="982"/>
        <v>0</v>
      </c>
      <c r="AY1043" s="41">
        <f t="shared" si="983"/>
        <v>0</v>
      </c>
      <c r="AZ1043" s="41">
        <v>0</v>
      </c>
      <c r="BA1043" s="41">
        <f t="shared" si="984"/>
        <v>0</v>
      </c>
      <c r="BC1043" s="21">
        <f t="shared" si="985"/>
        <v>0</v>
      </c>
      <c r="BD1043" s="21">
        <f t="shared" si="986"/>
        <v>0</v>
      </c>
      <c r="BE1043" s="21">
        <f t="shared" si="987"/>
        <v>0</v>
      </c>
      <c r="BF1043" s="21" t="s">
        <v>2492</v>
      </c>
      <c r="BG1043" s="41" t="s">
        <v>1581</v>
      </c>
    </row>
    <row r="1044" spans="1:59" x14ac:dyDescent="0.3">
      <c r="A1044" s="4" t="s">
        <v>1000</v>
      </c>
      <c r="B1044" s="13"/>
      <c r="C1044" s="13" t="s">
        <v>1621</v>
      </c>
      <c r="D1044" s="101" t="s">
        <v>1651</v>
      </c>
      <c r="E1044" s="102"/>
      <c r="F1044" s="13" t="s">
        <v>2386</v>
      </c>
      <c r="G1044" s="21">
        <v>1</v>
      </c>
      <c r="H1044" s="21">
        <v>0</v>
      </c>
      <c r="I1044" s="21">
        <f t="shared" si="962"/>
        <v>0</v>
      </c>
      <c r="J1044" s="21">
        <f t="shared" si="963"/>
        <v>0</v>
      </c>
      <c r="K1044" s="21">
        <f t="shared" si="964"/>
        <v>0</v>
      </c>
      <c r="L1044" s="21">
        <v>0</v>
      </c>
      <c r="M1044" s="21">
        <f t="shared" si="965"/>
        <v>0</v>
      </c>
      <c r="N1044" s="35"/>
      <c r="O1044" s="39"/>
      <c r="U1044" s="41">
        <f t="shared" si="966"/>
        <v>0</v>
      </c>
      <c r="W1044" s="41">
        <f t="shared" si="967"/>
        <v>0</v>
      </c>
      <c r="X1044" s="41">
        <f t="shared" si="968"/>
        <v>0</v>
      </c>
      <c r="Y1044" s="41">
        <f t="shared" si="969"/>
        <v>0</v>
      </c>
      <c r="Z1044" s="41">
        <f t="shared" si="970"/>
        <v>0</v>
      </c>
      <c r="AA1044" s="41">
        <f t="shared" si="971"/>
        <v>0</v>
      </c>
      <c r="AB1044" s="41">
        <f t="shared" si="972"/>
        <v>0</v>
      </c>
      <c r="AC1044" s="41">
        <f t="shared" si="973"/>
        <v>0</v>
      </c>
      <c r="AD1044" s="31"/>
      <c r="AE1044" s="21">
        <f t="shared" si="974"/>
        <v>0</v>
      </c>
      <c r="AF1044" s="21">
        <f t="shared" si="975"/>
        <v>0</v>
      </c>
      <c r="AG1044" s="21">
        <f t="shared" si="976"/>
        <v>0</v>
      </c>
      <c r="AI1044" s="41">
        <v>21</v>
      </c>
      <c r="AJ1044" s="41">
        <f t="shared" si="977"/>
        <v>0</v>
      </c>
      <c r="AK1044" s="41">
        <f t="shared" si="978"/>
        <v>0</v>
      </c>
      <c r="AL1044" s="42" t="s">
        <v>8</v>
      </c>
      <c r="AQ1044" s="41">
        <f t="shared" si="979"/>
        <v>0</v>
      </c>
      <c r="AR1044" s="41">
        <f t="shared" si="980"/>
        <v>0</v>
      </c>
      <c r="AS1044" s="41">
        <f t="shared" si="981"/>
        <v>0</v>
      </c>
      <c r="AT1044" s="44" t="s">
        <v>2474</v>
      </c>
      <c r="AU1044" s="44" t="s">
        <v>2485</v>
      </c>
      <c r="AV1044" s="31" t="s">
        <v>2486</v>
      </c>
      <c r="AX1044" s="41">
        <f t="shared" si="982"/>
        <v>0</v>
      </c>
      <c r="AY1044" s="41">
        <f t="shared" si="983"/>
        <v>0</v>
      </c>
      <c r="AZ1044" s="41">
        <v>0</v>
      </c>
      <c r="BA1044" s="41">
        <f t="shared" si="984"/>
        <v>0</v>
      </c>
      <c r="BC1044" s="21">
        <f t="shared" si="985"/>
        <v>0</v>
      </c>
      <c r="BD1044" s="21">
        <f t="shared" si="986"/>
        <v>0</v>
      </c>
      <c r="BE1044" s="21">
        <f t="shared" si="987"/>
        <v>0</v>
      </c>
      <c r="BF1044" s="21" t="s">
        <v>2492</v>
      </c>
      <c r="BG1044" s="41" t="s">
        <v>1581</v>
      </c>
    </row>
    <row r="1045" spans="1:59" x14ac:dyDescent="0.3">
      <c r="A1045" s="4" t="s">
        <v>1001</v>
      </c>
      <c r="B1045" s="13"/>
      <c r="C1045" s="13" t="s">
        <v>1622</v>
      </c>
      <c r="D1045" s="101" t="s">
        <v>2377</v>
      </c>
      <c r="E1045" s="102"/>
      <c r="F1045" s="13" t="s">
        <v>2386</v>
      </c>
      <c r="G1045" s="21">
        <v>1</v>
      </c>
      <c r="H1045" s="21">
        <v>0</v>
      </c>
      <c r="I1045" s="21">
        <f t="shared" si="962"/>
        <v>0</v>
      </c>
      <c r="J1045" s="21">
        <f t="shared" si="963"/>
        <v>0</v>
      </c>
      <c r="K1045" s="21">
        <f t="shared" si="964"/>
        <v>0</v>
      </c>
      <c r="L1045" s="21">
        <v>0</v>
      </c>
      <c r="M1045" s="21">
        <f t="shared" si="965"/>
        <v>0</v>
      </c>
      <c r="N1045" s="35"/>
      <c r="O1045" s="39"/>
      <c r="U1045" s="41">
        <f t="shared" si="966"/>
        <v>0</v>
      </c>
      <c r="W1045" s="41">
        <f t="shared" si="967"/>
        <v>0</v>
      </c>
      <c r="X1045" s="41">
        <f t="shared" si="968"/>
        <v>0</v>
      </c>
      <c r="Y1045" s="41">
        <f t="shared" si="969"/>
        <v>0</v>
      </c>
      <c r="Z1045" s="41">
        <f t="shared" si="970"/>
        <v>0</v>
      </c>
      <c r="AA1045" s="41">
        <f t="shared" si="971"/>
        <v>0</v>
      </c>
      <c r="AB1045" s="41">
        <f t="shared" si="972"/>
        <v>0</v>
      </c>
      <c r="AC1045" s="41">
        <f t="shared" si="973"/>
        <v>0</v>
      </c>
      <c r="AD1045" s="31"/>
      <c r="AE1045" s="21">
        <f t="shared" si="974"/>
        <v>0</v>
      </c>
      <c r="AF1045" s="21">
        <f t="shared" si="975"/>
        <v>0</v>
      </c>
      <c r="AG1045" s="21">
        <f t="shared" si="976"/>
        <v>0</v>
      </c>
      <c r="AI1045" s="41">
        <v>21</v>
      </c>
      <c r="AJ1045" s="41">
        <f t="shared" si="977"/>
        <v>0</v>
      </c>
      <c r="AK1045" s="41">
        <f t="shared" si="978"/>
        <v>0</v>
      </c>
      <c r="AL1045" s="42" t="s">
        <v>8</v>
      </c>
      <c r="AQ1045" s="41">
        <f t="shared" si="979"/>
        <v>0</v>
      </c>
      <c r="AR1045" s="41">
        <f t="shared" si="980"/>
        <v>0</v>
      </c>
      <c r="AS1045" s="41">
        <f t="shared" si="981"/>
        <v>0</v>
      </c>
      <c r="AT1045" s="44" t="s">
        <v>2474</v>
      </c>
      <c r="AU1045" s="44" t="s">
        <v>2485</v>
      </c>
      <c r="AV1045" s="31" t="s">
        <v>2486</v>
      </c>
      <c r="AX1045" s="41">
        <f t="shared" si="982"/>
        <v>0</v>
      </c>
      <c r="AY1045" s="41">
        <f t="shared" si="983"/>
        <v>0</v>
      </c>
      <c r="AZ1045" s="41">
        <v>0</v>
      </c>
      <c r="BA1045" s="41">
        <f t="shared" si="984"/>
        <v>0</v>
      </c>
      <c r="BC1045" s="21">
        <f t="shared" si="985"/>
        <v>0</v>
      </c>
      <c r="BD1045" s="21">
        <f t="shared" si="986"/>
        <v>0</v>
      </c>
      <c r="BE1045" s="21">
        <f t="shared" si="987"/>
        <v>0</v>
      </c>
      <c r="BF1045" s="21" t="s">
        <v>2492</v>
      </c>
      <c r="BG1045" s="41" t="s">
        <v>1581</v>
      </c>
    </row>
    <row r="1046" spans="1:59" x14ac:dyDescent="0.3">
      <c r="A1046" s="7" t="s">
        <v>1002</v>
      </c>
      <c r="B1046" s="16"/>
      <c r="C1046" s="16" t="s">
        <v>1623</v>
      </c>
      <c r="D1046" s="95" t="s">
        <v>2378</v>
      </c>
      <c r="E1046" s="96"/>
      <c r="F1046" s="16" t="s">
        <v>2386</v>
      </c>
      <c r="G1046" s="23">
        <v>1</v>
      </c>
      <c r="H1046" s="21">
        <v>0</v>
      </c>
      <c r="I1046" s="23">
        <f t="shared" si="962"/>
        <v>0</v>
      </c>
      <c r="J1046" s="23">
        <f t="shared" si="963"/>
        <v>0</v>
      </c>
      <c r="K1046" s="23">
        <f t="shared" si="964"/>
        <v>0</v>
      </c>
      <c r="L1046" s="23">
        <v>0</v>
      </c>
      <c r="M1046" s="23">
        <f t="shared" si="965"/>
        <v>0</v>
      </c>
      <c r="N1046" s="38"/>
      <c r="O1046" s="39"/>
      <c r="U1046" s="41">
        <f t="shared" si="966"/>
        <v>0</v>
      </c>
      <c r="W1046" s="41">
        <f t="shared" si="967"/>
        <v>0</v>
      </c>
      <c r="X1046" s="41">
        <f t="shared" si="968"/>
        <v>0</v>
      </c>
      <c r="Y1046" s="41">
        <f t="shared" si="969"/>
        <v>0</v>
      </c>
      <c r="Z1046" s="41">
        <f t="shared" si="970"/>
        <v>0</v>
      </c>
      <c r="AA1046" s="41">
        <f t="shared" si="971"/>
        <v>0</v>
      </c>
      <c r="AB1046" s="41">
        <f t="shared" si="972"/>
        <v>0</v>
      </c>
      <c r="AC1046" s="41">
        <f t="shared" si="973"/>
        <v>0</v>
      </c>
      <c r="AD1046" s="31"/>
      <c r="AE1046" s="21">
        <f t="shared" si="974"/>
        <v>0</v>
      </c>
      <c r="AF1046" s="21">
        <f t="shared" si="975"/>
        <v>0</v>
      </c>
      <c r="AG1046" s="21">
        <f t="shared" si="976"/>
        <v>0</v>
      </c>
      <c r="AI1046" s="41">
        <v>21</v>
      </c>
      <c r="AJ1046" s="41">
        <f t="shared" si="977"/>
        <v>0</v>
      </c>
      <c r="AK1046" s="41">
        <f t="shared" si="978"/>
        <v>0</v>
      </c>
      <c r="AL1046" s="42" t="s">
        <v>8</v>
      </c>
      <c r="AQ1046" s="41">
        <f t="shared" si="979"/>
        <v>0</v>
      </c>
      <c r="AR1046" s="41">
        <f t="shared" si="980"/>
        <v>0</v>
      </c>
      <c r="AS1046" s="41">
        <f t="shared" si="981"/>
        <v>0</v>
      </c>
      <c r="AT1046" s="44" t="s">
        <v>2474</v>
      </c>
      <c r="AU1046" s="44" t="s">
        <v>2485</v>
      </c>
      <c r="AV1046" s="31" t="s">
        <v>2486</v>
      </c>
      <c r="AX1046" s="41">
        <f t="shared" si="982"/>
        <v>0</v>
      </c>
      <c r="AY1046" s="41">
        <f t="shared" si="983"/>
        <v>0</v>
      </c>
      <c r="AZ1046" s="41">
        <v>0</v>
      </c>
      <c r="BA1046" s="41">
        <f t="shared" si="984"/>
        <v>0</v>
      </c>
      <c r="BC1046" s="21">
        <f t="shared" si="985"/>
        <v>0</v>
      </c>
      <c r="BD1046" s="21">
        <f t="shared" si="986"/>
        <v>0</v>
      </c>
      <c r="BE1046" s="21">
        <f t="shared" si="987"/>
        <v>0</v>
      </c>
      <c r="BF1046" s="21" t="s">
        <v>2492</v>
      </c>
      <c r="BG1046" s="41" t="s">
        <v>1581</v>
      </c>
    </row>
    <row r="1047" spans="1:59" x14ac:dyDescent="0.3">
      <c r="A1047" s="8"/>
      <c r="B1047" s="8"/>
      <c r="C1047" s="8"/>
      <c r="D1047" s="8"/>
      <c r="E1047" s="8"/>
      <c r="F1047" s="8"/>
      <c r="G1047" s="8"/>
      <c r="H1047" s="8"/>
      <c r="I1047" s="97" t="s">
        <v>2406</v>
      </c>
      <c r="J1047" s="98"/>
      <c r="K1047" s="48">
        <f>K12+K53+K72+K74+K81+K83+K98+K132+K142+K189+K191+K364+K450+K452+K537+K555+K570+K571+K648+K669+K676+K683+K693+K695+K698+K719+K731+K733+K735+K737+K739+K741+K743+K745+K747+K749+K751+K753+K755+K757+K759+K761+K763+K765+K802+K862+K912+K1004</f>
        <v>0</v>
      </c>
      <c r="L1047" s="8"/>
      <c r="M1047" s="8"/>
      <c r="N1047" s="8"/>
    </row>
    <row r="1048" spans="1:59" ht="11.25" customHeight="1" x14ac:dyDescent="0.3">
      <c r="A1048" s="9" t="s">
        <v>1003</v>
      </c>
    </row>
    <row r="1049" spans="1:59" x14ac:dyDescent="0.3">
      <c r="A1049" s="99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</row>
  </sheetData>
  <mergeCells count="1067">
    <mergeCell ref="P451:R451"/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I10:K10"/>
    <mergeCell ref="L10:M10"/>
    <mergeCell ref="D11:E11"/>
    <mergeCell ref="D12:E12"/>
    <mergeCell ref="D13:E13"/>
    <mergeCell ref="D14:E14"/>
    <mergeCell ref="D10:E10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71:E571"/>
    <mergeCell ref="D572:E572"/>
    <mergeCell ref="D573:E573"/>
    <mergeCell ref="D574:E574"/>
    <mergeCell ref="D567:E567"/>
    <mergeCell ref="D568:E568"/>
    <mergeCell ref="D569:E569"/>
    <mergeCell ref="D570:E570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10:E710"/>
    <mergeCell ref="D711:E711"/>
    <mergeCell ref="D713:E713"/>
    <mergeCell ref="D714:E714"/>
    <mergeCell ref="D712:E712"/>
    <mergeCell ref="D709:E709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799:E799"/>
    <mergeCell ref="D801:E801"/>
    <mergeCell ref="D802:E802"/>
    <mergeCell ref="D803:E803"/>
    <mergeCell ref="D804:E804"/>
    <mergeCell ref="D805:E805"/>
    <mergeCell ref="D800:E800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47:E947"/>
    <mergeCell ref="D948:E948"/>
    <mergeCell ref="D949:E949"/>
    <mergeCell ref="D950:E950"/>
    <mergeCell ref="D951:E951"/>
    <mergeCell ref="D952:E952"/>
    <mergeCell ref="D953:E953"/>
    <mergeCell ref="D954:E954"/>
    <mergeCell ref="D955:E955"/>
    <mergeCell ref="D956:E956"/>
    <mergeCell ref="D957:E957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79:E979"/>
    <mergeCell ref="D980:E980"/>
    <mergeCell ref="D981:E981"/>
    <mergeCell ref="D982:E982"/>
    <mergeCell ref="D983:E983"/>
    <mergeCell ref="D984:E984"/>
    <mergeCell ref="D985:E985"/>
    <mergeCell ref="D986:E986"/>
    <mergeCell ref="D987:E987"/>
    <mergeCell ref="D988:E988"/>
    <mergeCell ref="D989:E989"/>
    <mergeCell ref="D990:E990"/>
    <mergeCell ref="D991:E991"/>
    <mergeCell ref="D992:E992"/>
    <mergeCell ref="D993:E993"/>
    <mergeCell ref="D994:E994"/>
    <mergeCell ref="D995:E995"/>
    <mergeCell ref="D996:E996"/>
    <mergeCell ref="D997:E997"/>
    <mergeCell ref="D998:E998"/>
    <mergeCell ref="D999:E999"/>
    <mergeCell ref="D1000:E100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11:E1011"/>
    <mergeCell ref="D1012:E1012"/>
    <mergeCell ref="D1013:E1013"/>
    <mergeCell ref="D1014:E1014"/>
    <mergeCell ref="D1015:E1015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24:E1024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34:E1034"/>
    <mergeCell ref="D1035:E1035"/>
    <mergeCell ref="D1036:E1036"/>
    <mergeCell ref="D1037:E1037"/>
    <mergeCell ref="D1038:E1038"/>
    <mergeCell ref="D1045:E1045"/>
    <mergeCell ref="D1046:E1046"/>
    <mergeCell ref="I1047:J1047"/>
    <mergeCell ref="A1049:N1049"/>
    <mergeCell ref="D1039:E1039"/>
    <mergeCell ref="D1040:E1040"/>
    <mergeCell ref="D1041:E1041"/>
    <mergeCell ref="D1042:E1042"/>
    <mergeCell ref="D1043:E1043"/>
    <mergeCell ref="D1044:E1044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pane ySplit="10" topLeftCell="A11" activePane="bottomLeft" state="frozenSplit"/>
      <selection pane="bottomLeft" activeCell="M26" sqref="M26"/>
    </sheetView>
  </sheetViews>
  <sheetFormatPr defaultColWidth="11.53515625" defaultRowHeight="12.45" x14ac:dyDescent="0.3"/>
  <cols>
    <col min="1" max="2" width="7.15234375" customWidth="1"/>
    <col min="3" max="3" width="57.15234375" customWidth="1"/>
    <col min="4" max="4" width="22.15234375" customWidth="1"/>
    <col min="5" max="5" width="21" customWidth="1"/>
    <col min="6" max="6" width="20.84375" customWidth="1"/>
    <col min="7" max="7" width="37.15234375" customWidth="1"/>
    <col min="8" max="9" width="0" hidden="1" customWidth="1"/>
  </cols>
  <sheetData>
    <row r="1" spans="1:9" ht="73" customHeight="1" x14ac:dyDescent="0.5">
      <c r="A1" s="127" t="s">
        <v>2494</v>
      </c>
      <c r="B1" s="128"/>
      <c r="C1" s="128"/>
      <c r="D1" s="128"/>
      <c r="E1" s="128"/>
      <c r="F1" s="128"/>
      <c r="G1" s="128"/>
    </row>
    <row r="2" spans="1:9" x14ac:dyDescent="0.3">
      <c r="A2" s="129" t="s">
        <v>1</v>
      </c>
      <c r="B2" s="130"/>
      <c r="C2" s="131" t="str">
        <f>'Stavební rozpočet'!D2</f>
        <v>Návrh interiérového řešení paláce Dunaj, kanceláře ČAK</v>
      </c>
      <c r="D2" s="133" t="s">
        <v>2379</v>
      </c>
      <c r="E2" s="133" t="s">
        <v>6</v>
      </c>
      <c r="F2" s="134" t="s">
        <v>2400</v>
      </c>
      <c r="G2" s="137" t="str">
        <f>'Stavební rozpočet'!J2</f>
        <v>Česká advokát. komora, Národní 118/16, Praha 1</v>
      </c>
      <c r="H2" s="39"/>
    </row>
    <row r="3" spans="1:9" x14ac:dyDescent="0.3">
      <c r="A3" s="125"/>
      <c r="B3" s="100"/>
      <c r="C3" s="132"/>
      <c r="D3" s="100"/>
      <c r="E3" s="100"/>
      <c r="F3" s="100"/>
      <c r="G3" s="124"/>
      <c r="H3" s="39"/>
    </row>
    <row r="4" spans="1:9" x14ac:dyDescent="0.3">
      <c r="A4" s="118" t="s">
        <v>2</v>
      </c>
      <c r="B4" s="100"/>
      <c r="C4" s="99" t="str">
        <f>'Stavební rozpočet'!D4</f>
        <v>Kanceláře ČAK</v>
      </c>
      <c r="D4" s="121" t="s">
        <v>2380</v>
      </c>
      <c r="E4" s="121" t="s">
        <v>6</v>
      </c>
      <c r="F4" s="99" t="s">
        <v>2401</v>
      </c>
      <c r="G4" s="136" t="str">
        <f>'Stavební rozpočet'!J4</f>
        <v>Sdružení proj. Ateliér 4+MÓD architekti,</v>
      </c>
      <c r="H4" s="39"/>
    </row>
    <row r="5" spans="1:9" x14ac:dyDescent="0.3">
      <c r="A5" s="125"/>
      <c r="B5" s="100"/>
      <c r="C5" s="100"/>
      <c r="D5" s="100"/>
      <c r="E5" s="100"/>
      <c r="F5" s="100"/>
      <c r="G5" s="124"/>
      <c r="H5" s="39"/>
    </row>
    <row r="6" spans="1:9" x14ac:dyDescent="0.3">
      <c r="A6" s="118" t="s">
        <v>3</v>
      </c>
      <c r="B6" s="100"/>
      <c r="C6" s="99" t="str">
        <f>'Stavební rozpočet'!D6</f>
        <v>Národní 10, Praha 1, 1. až 3.NP</v>
      </c>
      <c r="D6" s="121" t="s">
        <v>2381</v>
      </c>
      <c r="E6" s="121" t="s">
        <v>6</v>
      </c>
      <c r="F6" s="99" t="s">
        <v>2402</v>
      </c>
      <c r="G6" s="136" t="str">
        <f>'Stavební rozpočet'!J6</f>
        <v> </v>
      </c>
      <c r="H6" s="39"/>
    </row>
    <row r="7" spans="1:9" x14ac:dyDescent="0.3">
      <c r="A7" s="125"/>
      <c r="B7" s="100"/>
      <c r="C7" s="100"/>
      <c r="D7" s="100"/>
      <c r="E7" s="100"/>
      <c r="F7" s="100"/>
      <c r="G7" s="124"/>
      <c r="H7" s="39"/>
    </row>
    <row r="8" spans="1:9" x14ac:dyDescent="0.3">
      <c r="A8" s="118" t="s">
        <v>2403</v>
      </c>
      <c r="B8" s="100"/>
      <c r="C8" s="99" t="str">
        <f>'Stavební rozpočet'!J8</f>
        <v>Ing. Petr FILIP - autor.osoba ČKAIT</v>
      </c>
      <c r="D8" s="121" t="s">
        <v>2382</v>
      </c>
      <c r="E8" s="121" t="s">
        <v>2736</v>
      </c>
      <c r="F8" s="121" t="s">
        <v>2382</v>
      </c>
      <c r="G8" s="122">
        <v>44869</v>
      </c>
      <c r="H8" s="39"/>
    </row>
    <row r="9" spans="1:9" x14ac:dyDescent="0.3">
      <c r="A9" s="119"/>
      <c r="B9" s="120"/>
      <c r="C9" s="120"/>
      <c r="D9" s="120"/>
      <c r="E9" s="120"/>
      <c r="F9" s="120"/>
      <c r="G9" s="123"/>
      <c r="H9" s="39"/>
    </row>
    <row r="10" spans="1:9" x14ac:dyDescent="0.3">
      <c r="A10" s="49" t="s">
        <v>1004</v>
      </c>
      <c r="B10" s="53" t="s">
        <v>1006</v>
      </c>
      <c r="C10" s="56" t="s">
        <v>1627</v>
      </c>
      <c r="D10" s="57" t="s">
        <v>2495</v>
      </c>
      <c r="E10" s="57" t="s">
        <v>2496</v>
      </c>
      <c r="F10" s="57" t="s">
        <v>2497</v>
      </c>
      <c r="G10" s="58" t="s">
        <v>2498</v>
      </c>
      <c r="H10" s="40"/>
    </row>
    <row r="11" spans="1:9" x14ac:dyDescent="0.3">
      <c r="A11" s="50"/>
      <c r="B11" s="54" t="s">
        <v>1007</v>
      </c>
      <c r="C11" s="54" t="s">
        <v>1629</v>
      </c>
      <c r="D11" s="60">
        <f>'Stavební rozpočet'!I12</f>
        <v>0</v>
      </c>
      <c r="E11" s="60">
        <f>'Stavební rozpočet'!J12</f>
        <v>0</v>
      </c>
      <c r="F11" s="60">
        <f>'Stavební rozpočet'!K12</f>
        <v>0</v>
      </c>
      <c r="G11" s="62">
        <f>'Stavební rozpočet'!M12</f>
        <v>0</v>
      </c>
      <c r="H11" s="59" t="s">
        <v>2499</v>
      </c>
      <c r="I11" s="41">
        <f t="shared" ref="I11:I58" si="0">IF(H11="F",0,F11)</f>
        <v>0</v>
      </c>
    </row>
    <row r="12" spans="1:9" x14ac:dyDescent="0.3">
      <c r="A12" s="51"/>
      <c r="B12" s="17" t="s">
        <v>40</v>
      </c>
      <c r="C12" s="17" t="s">
        <v>1670</v>
      </c>
      <c r="D12" s="41">
        <f>'Stavební rozpočet'!I53</f>
        <v>0</v>
      </c>
      <c r="E12" s="41">
        <f>'Stavební rozpočet'!J53</f>
        <v>0</v>
      </c>
      <c r="F12" s="41">
        <f>'Stavební rozpočet'!K53</f>
        <v>0</v>
      </c>
      <c r="G12" s="63">
        <f>'Stavební rozpočet'!M53</f>
        <v>62.269676498500012</v>
      </c>
      <c r="H12" s="59" t="s">
        <v>2499</v>
      </c>
      <c r="I12" s="41">
        <f t="shared" si="0"/>
        <v>0</v>
      </c>
    </row>
    <row r="13" spans="1:9" x14ac:dyDescent="0.3">
      <c r="A13" s="51"/>
      <c r="B13" s="17" t="s">
        <v>47</v>
      </c>
      <c r="C13" s="17" t="s">
        <v>1689</v>
      </c>
      <c r="D13" s="41">
        <f>'Stavební rozpočet'!I72</f>
        <v>0</v>
      </c>
      <c r="E13" s="41">
        <f>'Stavební rozpočet'!J72</f>
        <v>0</v>
      </c>
      <c r="F13" s="41">
        <f>'Stavební rozpočet'!K72</f>
        <v>0</v>
      </c>
      <c r="G13" s="63">
        <f>'Stavební rozpočet'!M72</f>
        <v>1.2316590000000001</v>
      </c>
      <c r="H13" s="59" t="s">
        <v>2499</v>
      </c>
      <c r="I13" s="41">
        <f t="shared" si="0"/>
        <v>0</v>
      </c>
    </row>
    <row r="14" spans="1:9" x14ac:dyDescent="0.3">
      <c r="A14" s="51"/>
      <c r="B14" s="17" t="s">
        <v>67</v>
      </c>
      <c r="C14" s="17" t="s">
        <v>1691</v>
      </c>
      <c r="D14" s="41">
        <f>'Stavební rozpočet'!I74</f>
        <v>0</v>
      </c>
      <c r="E14" s="41">
        <f>'Stavební rozpočet'!J74</f>
        <v>0</v>
      </c>
      <c r="F14" s="41">
        <f>'Stavební rozpočet'!K74</f>
        <v>0</v>
      </c>
      <c r="G14" s="63">
        <f>'Stavební rozpočet'!M74</f>
        <v>1.55312329</v>
      </c>
      <c r="H14" s="59" t="s">
        <v>2499</v>
      </c>
      <c r="I14" s="41">
        <f t="shared" si="0"/>
        <v>0</v>
      </c>
    </row>
    <row r="15" spans="1:9" x14ac:dyDescent="0.3">
      <c r="A15" s="51"/>
      <c r="B15" s="17" t="s">
        <v>715</v>
      </c>
      <c r="C15" s="17" t="s">
        <v>1698</v>
      </c>
      <c r="D15" s="41">
        <f>'Stavební rozpočet'!I81</f>
        <v>0</v>
      </c>
      <c r="E15" s="41">
        <f>'Stavební rozpočet'!J81</f>
        <v>0</v>
      </c>
      <c r="F15" s="41">
        <f>'Stavební rozpočet'!K81</f>
        <v>0</v>
      </c>
      <c r="G15" s="63">
        <f>'Stavební rozpočet'!M81</f>
        <v>0</v>
      </c>
      <c r="H15" s="59" t="s">
        <v>2499</v>
      </c>
      <c r="I15" s="41">
        <f t="shared" si="0"/>
        <v>0</v>
      </c>
    </row>
    <row r="16" spans="1:9" x14ac:dyDescent="0.3">
      <c r="A16" s="51"/>
      <c r="B16" s="17" t="s">
        <v>716</v>
      </c>
      <c r="C16" s="17" t="s">
        <v>1700</v>
      </c>
      <c r="D16" s="41">
        <f>'Stavební rozpočet'!I83</f>
        <v>0</v>
      </c>
      <c r="E16" s="41">
        <f>'Stavební rozpočet'!J83</f>
        <v>0</v>
      </c>
      <c r="F16" s="41">
        <f>'Stavební rozpočet'!K83</f>
        <v>0</v>
      </c>
      <c r="G16" s="63">
        <f>'Stavební rozpočet'!M83</f>
        <v>13.801224699999999</v>
      </c>
      <c r="H16" s="59" t="s">
        <v>2499</v>
      </c>
      <c r="I16" s="41">
        <f t="shared" si="0"/>
        <v>0</v>
      </c>
    </row>
    <row r="17" spans="1:9" x14ac:dyDescent="0.3">
      <c r="A17" s="51"/>
      <c r="B17" s="17" t="s">
        <v>723</v>
      </c>
      <c r="C17" s="17" t="s">
        <v>1715</v>
      </c>
      <c r="D17" s="41">
        <f>'Stavební rozpočet'!I98</f>
        <v>0</v>
      </c>
      <c r="E17" s="41">
        <f>'Stavební rozpočet'!J98</f>
        <v>0</v>
      </c>
      <c r="F17" s="41">
        <f>'Stavební rozpočet'!K98</f>
        <v>0</v>
      </c>
      <c r="G17" s="63">
        <f>'Stavební rozpočet'!M98</f>
        <v>0</v>
      </c>
      <c r="H17" s="59" t="s">
        <v>2499</v>
      </c>
      <c r="I17" s="41">
        <f t="shared" si="0"/>
        <v>0</v>
      </c>
    </row>
    <row r="18" spans="1:9" x14ac:dyDescent="0.3">
      <c r="A18" s="51"/>
      <c r="B18" s="17" t="s">
        <v>1088</v>
      </c>
      <c r="C18" s="17" t="s">
        <v>1748</v>
      </c>
      <c r="D18" s="41">
        <f>'Stavební rozpočet'!I132</f>
        <v>0</v>
      </c>
      <c r="E18" s="41">
        <f>'Stavební rozpočet'!J132</f>
        <v>0</v>
      </c>
      <c r="F18" s="41">
        <f>'Stavební rozpočet'!K132</f>
        <v>0</v>
      </c>
      <c r="G18" s="63">
        <f>'Stavební rozpočet'!M132</f>
        <v>3.5355099999999999</v>
      </c>
      <c r="H18" s="59" t="s">
        <v>2499</v>
      </c>
      <c r="I18" s="41">
        <f t="shared" si="0"/>
        <v>0</v>
      </c>
    </row>
    <row r="19" spans="1:9" x14ac:dyDescent="0.3">
      <c r="A19" s="51"/>
      <c r="B19" s="17" t="s">
        <v>727</v>
      </c>
      <c r="C19" s="17" t="s">
        <v>1758</v>
      </c>
      <c r="D19" s="41">
        <f>'Stavební rozpočet'!I142</f>
        <v>0</v>
      </c>
      <c r="E19" s="41">
        <f>'Stavební rozpočet'!J142</f>
        <v>0</v>
      </c>
      <c r="F19" s="41">
        <f>'Stavební rozpočet'!K142</f>
        <v>0</v>
      </c>
      <c r="G19" s="63">
        <f>'Stavební rozpočet'!M142</f>
        <v>1.6696800000000001</v>
      </c>
      <c r="H19" s="59" t="s">
        <v>2499</v>
      </c>
      <c r="I19" s="41">
        <f t="shared" si="0"/>
        <v>0</v>
      </c>
    </row>
    <row r="20" spans="1:9" x14ac:dyDescent="0.3">
      <c r="A20" s="51"/>
      <c r="B20" s="17" t="s">
        <v>728</v>
      </c>
      <c r="C20" s="17" t="s">
        <v>1805</v>
      </c>
      <c r="D20" s="41">
        <f>'Stavební rozpočet'!I189</f>
        <v>0</v>
      </c>
      <c r="E20" s="41">
        <f>'Stavební rozpočet'!J189</f>
        <v>0</v>
      </c>
      <c r="F20" s="41">
        <f>'Stavební rozpočet'!K189</f>
        <v>0</v>
      </c>
      <c r="G20" s="63">
        <f>'Stavební rozpočet'!M189</f>
        <v>0.24643000000000001</v>
      </c>
      <c r="H20" s="59" t="s">
        <v>2499</v>
      </c>
      <c r="I20" s="41">
        <f t="shared" si="0"/>
        <v>0</v>
      </c>
    </row>
    <row r="21" spans="1:9" x14ac:dyDescent="0.3">
      <c r="A21" s="51"/>
      <c r="B21" s="17" t="s">
        <v>730</v>
      </c>
      <c r="C21" s="17" t="s">
        <v>1807</v>
      </c>
      <c r="D21" s="41">
        <f>'Stavební rozpočet'!I191</f>
        <v>0</v>
      </c>
      <c r="E21" s="41">
        <f>'Stavební rozpočet'!J191</f>
        <v>0</v>
      </c>
      <c r="F21" s="41">
        <f>'Stavební rozpočet'!K191</f>
        <v>0</v>
      </c>
      <c r="G21" s="63">
        <f>'Stavební rozpočet'!M191</f>
        <v>0</v>
      </c>
      <c r="H21" s="59" t="s">
        <v>2499</v>
      </c>
      <c r="I21" s="41">
        <f t="shared" si="0"/>
        <v>0</v>
      </c>
    </row>
    <row r="22" spans="1:9" x14ac:dyDescent="0.3">
      <c r="A22" s="51"/>
      <c r="B22" s="17" t="s">
        <v>733</v>
      </c>
      <c r="C22" s="17" t="s">
        <v>1866</v>
      </c>
      <c r="D22" s="41">
        <f>'Stavební rozpočet'!I364</f>
        <v>0</v>
      </c>
      <c r="E22" s="41">
        <f>'Stavební rozpočet'!J364</f>
        <v>0</v>
      </c>
      <c r="F22" s="41">
        <f>'Stavební rozpočet'!K364</f>
        <v>0</v>
      </c>
      <c r="G22" s="63">
        <f>'Stavební rozpočet'!M364</f>
        <v>-0.21392</v>
      </c>
      <c r="H22" s="59" t="s">
        <v>2499</v>
      </c>
      <c r="I22" s="41">
        <f t="shared" si="0"/>
        <v>0</v>
      </c>
    </row>
    <row r="23" spans="1:9" x14ac:dyDescent="0.3">
      <c r="A23" s="51"/>
      <c r="B23" s="17" t="s">
        <v>734</v>
      </c>
      <c r="C23" s="17" t="s">
        <v>1908</v>
      </c>
      <c r="D23" s="41">
        <f>'Stavební rozpočet'!I450</f>
        <v>0</v>
      </c>
      <c r="E23" s="41">
        <f>'Stavební rozpočet'!J450</f>
        <v>0</v>
      </c>
      <c r="F23" s="41">
        <f>'Stavební rozpočet'!K450</f>
        <v>0</v>
      </c>
      <c r="G23" s="63">
        <f>'Stavební rozpočet'!M450</f>
        <v>0.06</v>
      </c>
      <c r="H23" s="59" t="s">
        <v>2499</v>
      </c>
      <c r="I23" s="41">
        <f t="shared" si="0"/>
        <v>0</v>
      </c>
    </row>
    <row r="24" spans="1:9" x14ac:dyDescent="0.3">
      <c r="A24" s="51"/>
      <c r="B24" s="17" t="s">
        <v>1145</v>
      </c>
      <c r="C24" s="17" t="s">
        <v>1910</v>
      </c>
      <c r="D24" s="41">
        <f>'Stavební rozpočet'!I452</f>
        <v>0</v>
      </c>
      <c r="E24" s="41">
        <f>'Stavební rozpočet'!J452</f>
        <v>0</v>
      </c>
      <c r="F24" s="41">
        <f>'Stavební rozpočet'!K452</f>
        <v>0</v>
      </c>
      <c r="G24" s="63">
        <f>'Stavební rozpočet'!M452</f>
        <v>0</v>
      </c>
      <c r="H24" s="59" t="s">
        <v>2499</v>
      </c>
      <c r="I24" s="41">
        <f t="shared" si="0"/>
        <v>0</v>
      </c>
    </row>
    <row r="25" spans="1:9" x14ac:dyDescent="0.3">
      <c r="A25" s="51"/>
      <c r="B25" s="17" t="s">
        <v>768</v>
      </c>
      <c r="C25" s="17" t="s">
        <v>1925</v>
      </c>
      <c r="D25" s="41">
        <f>'Stavební rozpočet'!I537</f>
        <v>0</v>
      </c>
      <c r="E25" s="41">
        <f>'Stavební rozpočet'!J537</f>
        <v>0</v>
      </c>
      <c r="F25" s="41">
        <f>'Stavební rozpočet'!K537</f>
        <v>0</v>
      </c>
      <c r="G25" s="63">
        <f>'Stavební rozpočet'!M537</f>
        <v>2.5128387499999993</v>
      </c>
      <c r="H25" s="59" t="s">
        <v>2499</v>
      </c>
      <c r="I25" s="41">
        <f t="shared" si="0"/>
        <v>0</v>
      </c>
    </row>
    <row r="26" spans="1:9" x14ac:dyDescent="0.3">
      <c r="A26" s="51"/>
      <c r="B26" s="17" t="s">
        <v>1163</v>
      </c>
      <c r="C26" s="17" t="s">
        <v>1943</v>
      </c>
      <c r="D26" s="41">
        <f>'Stavební rozpočet'!I555</f>
        <v>0</v>
      </c>
      <c r="E26" s="41">
        <f>'Stavební rozpočet'!J555</f>
        <v>0</v>
      </c>
      <c r="F26" s="41">
        <f>'Stavební rozpočet'!K555</f>
        <v>0</v>
      </c>
      <c r="G26" s="63">
        <f>'Stavební rozpočet'!M555</f>
        <v>1.5945799999999999</v>
      </c>
      <c r="H26" s="59" t="s">
        <v>2499</v>
      </c>
      <c r="I26" s="41">
        <f t="shared" si="0"/>
        <v>0</v>
      </c>
    </row>
    <row r="27" spans="1:9" x14ac:dyDescent="0.3">
      <c r="A27" s="51"/>
      <c r="B27" s="17" t="s">
        <v>1178</v>
      </c>
      <c r="C27" s="17" t="s">
        <v>2734</v>
      </c>
      <c r="D27" s="41">
        <f>'Stavební rozpočet'!I570</f>
        <v>0</v>
      </c>
      <c r="E27" s="41">
        <f>'Stavební rozpočet'!J570</f>
        <v>0</v>
      </c>
      <c r="F27" s="41">
        <f>'Stavební rozpočet'!K570</f>
        <v>0</v>
      </c>
      <c r="G27" s="63">
        <f>'Stavební rozpočet'!M570</f>
        <v>0</v>
      </c>
      <c r="H27" s="59" t="s">
        <v>2499</v>
      </c>
      <c r="I27" s="41">
        <f t="shared" si="0"/>
        <v>0</v>
      </c>
    </row>
    <row r="28" spans="1:9" x14ac:dyDescent="0.3">
      <c r="A28" s="51"/>
      <c r="B28" s="17" t="s">
        <v>1179</v>
      </c>
      <c r="C28" s="17" t="s">
        <v>1958</v>
      </c>
      <c r="D28" s="41">
        <f>'Stavební rozpočet'!I571</f>
        <v>0</v>
      </c>
      <c r="E28" s="41">
        <f>'Stavební rozpočet'!J571</f>
        <v>0</v>
      </c>
      <c r="F28" s="41">
        <f>'Stavební rozpočet'!K571</f>
        <v>0</v>
      </c>
      <c r="G28" s="63">
        <f>'Stavební rozpočet'!M571</f>
        <v>1.7100000000000001E-3</v>
      </c>
      <c r="H28" s="59" t="s">
        <v>2499</v>
      </c>
      <c r="I28" s="41">
        <f t="shared" si="0"/>
        <v>0</v>
      </c>
    </row>
    <row r="29" spans="1:9" x14ac:dyDescent="0.3">
      <c r="A29" s="51"/>
      <c r="B29" s="17" t="s">
        <v>769</v>
      </c>
      <c r="C29" s="17" t="s">
        <v>2035</v>
      </c>
      <c r="D29" s="41">
        <f>'Stavební rozpočet'!I648</f>
        <v>0</v>
      </c>
      <c r="E29" s="41">
        <f>'Stavební rozpočet'!J648</f>
        <v>0</v>
      </c>
      <c r="F29" s="41">
        <f>'Stavební rozpočet'!K648</f>
        <v>0</v>
      </c>
      <c r="G29" s="63">
        <f>'Stavební rozpočet'!M648</f>
        <v>42.253500000000017</v>
      </c>
      <c r="H29" s="59" t="s">
        <v>2499</v>
      </c>
      <c r="I29" s="41">
        <f t="shared" si="0"/>
        <v>0</v>
      </c>
    </row>
    <row r="30" spans="1:9" x14ac:dyDescent="0.3">
      <c r="A30" s="51"/>
      <c r="B30" s="17" t="s">
        <v>773</v>
      </c>
      <c r="C30" s="17" t="s">
        <v>2056</v>
      </c>
      <c r="D30" s="41">
        <f>'Stavební rozpočet'!I669</f>
        <v>0</v>
      </c>
      <c r="E30" s="41">
        <f>'Stavební rozpočet'!J669</f>
        <v>0</v>
      </c>
      <c r="F30" s="41">
        <f>'Stavební rozpočet'!K669</f>
        <v>0</v>
      </c>
      <c r="G30" s="63">
        <f>'Stavební rozpočet'!M669</f>
        <v>6.8182819200000004</v>
      </c>
      <c r="H30" s="59" t="s">
        <v>2499</v>
      </c>
      <c r="I30" s="41">
        <f t="shared" si="0"/>
        <v>0</v>
      </c>
    </row>
    <row r="31" spans="1:9" x14ac:dyDescent="0.3">
      <c r="A31" s="51"/>
      <c r="B31" s="17" t="s">
        <v>778</v>
      </c>
      <c r="C31" s="17" t="s">
        <v>2063</v>
      </c>
      <c r="D31" s="41">
        <f>'Stavební rozpočet'!I676</f>
        <v>0</v>
      </c>
      <c r="E31" s="41">
        <f>'Stavební rozpočet'!J676</f>
        <v>0</v>
      </c>
      <c r="F31" s="41">
        <f>'Stavební rozpočet'!K676</f>
        <v>0</v>
      </c>
      <c r="G31" s="63">
        <f>'Stavební rozpočet'!M676</f>
        <v>4.1049230999999997</v>
      </c>
      <c r="H31" s="59" t="s">
        <v>2499</v>
      </c>
      <c r="I31" s="41">
        <f t="shared" si="0"/>
        <v>0</v>
      </c>
    </row>
    <row r="32" spans="1:9" x14ac:dyDescent="0.3">
      <c r="A32" s="51"/>
      <c r="B32" s="17" t="s">
        <v>783</v>
      </c>
      <c r="C32" s="17" t="s">
        <v>2070</v>
      </c>
      <c r="D32" s="41">
        <f>'Stavební rozpočet'!I683</f>
        <v>0</v>
      </c>
      <c r="E32" s="41">
        <f>'Stavební rozpočet'!J683</f>
        <v>0</v>
      </c>
      <c r="F32" s="41">
        <f>'Stavební rozpočet'!K683</f>
        <v>0</v>
      </c>
      <c r="G32" s="63">
        <f>'Stavební rozpočet'!M683</f>
        <v>11.676880194999999</v>
      </c>
      <c r="H32" s="59" t="s">
        <v>2499</v>
      </c>
      <c r="I32" s="41">
        <f t="shared" si="0"/>
        <v>0</v>
      </c>
    </row>
    <row r="33" spans="1:9" x14ac:dyDescent="0.3">
      <c r="A33" s="51"/>
      <c r="B33" s="17" t="s">
        <v>785</v>
      </c>
      <c r="C33" s="17" t="s">
        <v>2080</v>
      </c>
      <c r="D33" s="41">
        <f>'Stavební rozpočet'!I693</f>
        <v>0</v>
      </c>
      <c r="E33" s="41">
        <f>'Stavební rozpočet'!J693</f>
        <v>0</v>
      </c>
      <c r="F33" s="41">
        <f>'Stavební rozpočet'!K693</f>
        <v>0</v>
      </c>
      <c r="G33" s="63">
        <f>'Stavební rozpočet'!M693</f>
        <v>6.8750000000000006E-2</v>
      </c>
      <c r="H33" s="59" t="s">
        <v>2499</v>
      </c>
      <c r="I33" s="41">
        <f t="shared" si="0"/>
        <v>0</v>
      </c>
    </row>
    <row r="34" spans="1:9" x14ac:dyDescent="0.3">
      <c r="A34" s="51"/>
      <c r="B34" s="17" t="s">
        <v>786</v>
      </c>
      <c r="C34" s="17" t="s">
        <v>2082</v>
      </c>
      <c r="D34" s="41">
        <f>'Stavební rozpočet'!I695</f>
        <v>0</v>
      </c>
      <c r="E34" s="41">
        <f>'Stavební rozpočet'!J695</f>
        <v>0</v>
      </c>
      <c r="F34" s="41">
        <f>'Stavební rozpočet'!K695</f>
        <v>0</v>
      </c>
      <c r="G34" s="63">
        <f>'Stavební rozpočet'!M695</f>
        <v>0.82920840600000012</v>
      </c>
      <c r="H34" s="59" t="s">
        <v>2499</v>
      </c>
      <c r="I34" s="41">
        <f t="shared" si="0"/>
        <v>0</v>
      </c>
    </row>
    <row r="35" spans="1:9" x14ac:dyDescent="0.3">
      <c r="A35" s="51"/>
      <c r="B35" s="17" t="s">
        <v>790</v>
      </c>
      <c r="C35" s="17" t="s">
        <v>2085</v>
      </c>
      <c r="D35" s="41">
        <f>'Stavební rozpočet'!I698</f>
        <v>0</v>
      </c>
      <c r="E35" s="41">
        <f>'Stavební rozpočet'!J698</f>
        <v>0</v>
      </c>
      <c r="F35" s="41">
        <f>'Stavební rozpočet'!K698</f>
        <v>0</v>
      </c>
      <c r="G35" s="63">
        <f>'Stavební rozpočet'!M698</f>
        <v>1.54555</v>
      </c>
      <c r="H35" s="59" t="s">
        <v>2499</v>
      </c>
      <c r="I35" s="41">
        <f t="shared" si="0"/>
        <v>0</v>
      </c>
    </row>
    <row r="36" spans="1:9" x14ac:dyDescent="0.3">
      <c r="A36" s="51"/>
      <c r="B36" s="17" t="s">
        <v>791</v>
      </c>
      <c r="C36" s="17" t="s">
        <v>2104</v>
      </c>
      <c r="D36" s="41">
        <f>'Stavební rozpočet'!I719</f>
        <v>0</v>
      </c>
      <c r="E36" s="41">
        <f>'Stavební rozpočet'!J719</f>
        <v>0</v>
      </c>
      <c r="F36" s="41">
        <f>'Stavební rozpočet'!K719</f>
        <v>0</v>
      </c>
      <c r="G36" s="63">
        <f>'Stavební rozpočet'!M719</f>
        <v>1.7904000000000002</v>
      </c>
      <c r="H36" s="59" t="s">
        <v>2499</v>
      </c>
      <c r="I36" s="41">
        <f t="shared" si="0"/>
        <v>0</v>
      </c>
    </row>
    <row r="37" spans="1:9" x14ac:dyDescent="0.3">
      <c r="A37" s="51"/>
      <c r="B37" s="17" t="s">
        <v>100</v>
      </c>
      <c r="C37" s="17" t="s">
        <v>2116</v>
      </c>
      <c r="D37" s="41">
        <f>'Stavební rozpočet'!I731</f>
        <v>0</v>
      </c>
      <c r="E37" s="41">
        <f>'Stavební rozpočet'!J731</f>
        <v>0</v>
      </c>
      <c r="F37" s="41">
        <f>'Stavební rozpočet'!K731</f>
        <v>0</v>
      </c>
      <c r="G37" s="63">
        <f>'Stavební rozpočet'!M731</f>
        <v>1.67164</v>
      </c>
      <c r="H37" s="59" t="s">
        <v>2499</v>
      </c>
      <c r="I37" s="41">
        <f t="shared" si="0"/>
        <v>0</v>
      </c>
    </row>
    <row r="38" spans="1:9" x14ac:dyDescent="0.3">
      <c r="A38" s="51"/>
      <c r="B38" s="17" t="s">
        <v>1311</v>
      </c>
      <c r="C38" s="17" t="s">
        <v>2118</v>
      </c>
      <c r="D38" s="41">
        <f>'Stavební rozpočet'!I733</f>
        <v>0</v>
      </c>
      <c r="E38" s="41">
        <f>'Stavební rozpočet'!J733</f>
        <v>0</v>
      </c>
      <c r="F38" s="41">
        <f>'Stavební rozpočet'!K733</f>
        <v>0</v>
      </c>
      <c r="G38" s="63">
        <f>'Stavební rozpočet'!M733</f>
        <v>0</v>
      </c>
      <c r="H38" s="59" t="s">
        <v>2499</v>
      </c>
      <c r="I38" s="41">
        <f t="shared" si="0"/>
        <v>0</v>
      </c>
    </row>
    <row r="39" spans="1:9" x14ac:dyDescent="0.3">
      <c r="A39" s="51"/>
      <c r="B39" s="17" t="s">
        <v>1313</v>
      </c>
      <c r="C39" s="17" t="s">
        <v>1700</v>
      </c>
      <c r="D39" s="41">
        <f>'Stavební rozpočet'!I735</f>
        <v>0</v>
      </c>
      <c r="E39" s="41">
        <f>'Stavební rozpočet'!J735</f>
        <v>0</v>
      </c>
      <c r="F39" s="41">
        <f>'Stavební rozpočet'!K735</f>
        <v>0</v>
      </c>
      <c r="G39" s="63">
        <f>'Stavební rozpočet'!M735</f>
        <v>0</v>
      </c>
      <c r="H39" s="59" t="s">
        <v>2499</v>
      </c>
      <c r="I39" s="41">
        <f t="shared" si="0"/>
        <v>0</v>
      </c>
    </row>
    <row r="40" spans="1:9" x14ac:dyDescent="0.3">
      <c r="A40" s="51"/>
      <c r="B40" s="17" t="s">
        <v>1315</v>
      </c>
      <c r="C40" s="17" t="s">
        <v>2121</v>
      </c>
      <c r="D40" s="41">
        <f>'Stavební rozpočet'!I737</f>
        <v>0</v>
      </c>
      <c r="E40" s="41">
        <f>'Stavební rozpočet'!J737</f>
        <v>0</v>
      </c>
      <c r="F40" s="41">
        <f>'Stavební rozpočet'!K737</f>
        <v>0</v>
      </c>
      <c r="G40" s="63">
        <f>'Stavební rozpočet'!M737</f>
        <v>0</v>
      </c>
      <c r="H40" s="59" t="s">
        <v>2499</v>
      </c>
      <c r="I40" s="41">
        <f t="shared" si="0"/>
        <v>0</v>
      </c>
    </row>
    <row r="41" spans="1:9" x14ac:dyDescent="0.3">
      <c r="A41" s="51"/>
      <c r="B41" s="17" t="s">
        <v>1317</v>
      </c>
      <c r="C41" s="17" t="s">
        <v>2123</v>
      </c>
      <c r="D41" s="41">
        <f>'Stavební rozpočet'!I739</f>
        <v>0</v>
      </c>
      <c r="E41" s="41">
        <f>'Stavební rozpočet'!J739</f>
        <v>0</v>
      </c>
      <c r="F41" s="41">
        <f>'Stavební rozpočet'!K739</f>
        <v>0</v>
      </c>
      <c r="G41" s="63">
        <f>'Stavební rozpočet'!M739</f>
        <v>0</v>
      </c>
      <c r="H41" s="59" t="s">
        <v>2499</v>
      </c>
      <c r="I41" s="41">
        <f t="shared" si="0"/>
        <v>0</v>
      </c>
    </row>
    <row r="42" spans="1:9" x14ac:dyDescent="0.3">
      <c r="A42" s="51"/>
      <c r="B42" s="17" t="s">
        <v>1319</v>
      </c>
      <c r="C42" s="17" t="s">
        <v>2125</v>
      </c>
      <c r="D42" s="41">
        <f>'Stavební rozpočet'!I741</f>
        <v>0</v>
      </c>
      <c r="E42" s="41">
        <f>'Stavební rozpočet'!J741</f>
        <v>0</v>
      </c>
      <c r="F42" s="41">
        <f>'Stavební rozpočet'!K741</f>
        <v>0</v>
      </c>
      <c r="G42" s="63">
        <f>'Stavební rozpočet'!M741</f>
        <v>0</v>
      </c>
      <c r="H42" s="59" t="s">
        <v>2499</v>
      </c>
      <c r="I42" s="41">
        <f t="shared" si="0"/>
        <v>0</v>
      </c>
    </row>
    <row r="43" spans="1:9" x14ac:dyDescent="0.3">
      <c r="A43" s="51"/>
      <c r="B43" s="17" t="s">
        <v>1321</v>
      </c>
      <c r="C43" s="17" t="s">
        <v>1758</v>
      </c>
      <c r="D43" s="41">
        <f>'Stavební rozpočet'!I743</f>
        <v>0</v>
      </c>
      <c r="E43" s="41">
        <f>'Stavební rozpočet'!J743</f>
        <v>0</v>
      </c>
      <c r="F43" s="41">
        <f>'Stavební rozpočet'!K743</f>
        <v>0</v>
      </c>
      <c r="G43" s="63">
        <f>'Stavební rozpočet'!M743</f>
        <v>0</v>
      </c>
      <c r="H43" s="59" t="s">
        <v>2499</v>
      </c>
      <c r="I43" s="41">
        <f t="shared" si="0"/>
        <v>0</v>
      </c>
    </row>
    <row r="44" spans="1:9" x14ac:dyDescent="0.3">
      <c r="A44" s="51"/>
      <c r="B44" s="17" t="s">
        <v>1323</v>
      </c>
      <c r="C44" s="17" t="s">
        <v>1805</v>
      </c>
      <c r="D44" s="41">
        <f>'Stavební rozpočet'!I745</f>
        <v>0</v>
      </c>
      <c r="E44" s="41">
        <f>'Stavební rozpočet'!J745</f>
        <v>0</v>
      </c>
      <c r="F44" s="41">
        <f>'Stavební rozpočet'!K745</f>
        <v>0</v>
      </c>
      <c r="G44" s="63">
        <f>'Stavební rozpočet'!M745</f>
        <v>0</v>
      </c>
      <c r="H44" s="59" t="s">
        <v>2499</v>
      </c>
      <c r="I44" s="41">
        <f t="shared" si="0"/>
        <v>0</v>
      </c>
    </row>
    <row r="45" spans="1:9" x14ac:dyDescent="0.3">
      <c r="A45" s="51"/>
      <c r="B45" s="17" t="s">
        <v>1325</v>
      </c>
      <c r="C45" s="17" t="s">
        <v>2129</v>
      </c>
      <c r="D45" s="41">
        <f>'Stavební rozpočet'!I747</f>
        <v>0</v>
      </c>
      <c r="E45" s="41">
        <f>'Stavební rozpočet'!J747</f>
        <v>0</v>
      </c>
      <c r="F45" s="41">
        <f>'Stavební rozpočet'!K747</f>
        <v>0</v>
      </c>
      <c r="G45" s="63">
        <f>'Stavební rozpočet'!M747</f>
        <v>0</v>
      </c>
      <c r="H45" s="59" t="s">
        <v>2499</v>
      </c>
      <c r="I45" s="41">
        <f t="shared" si="0"/>
        <v>0</v>
      </c>
    </row>
    <row r="46" spans="1:9" x14ac:dyDescent="0.3">
      <c r="A46" s="51"/>
      <c r="B46" s="17" t="s">
        <v>1327</v>
      </c>
      <c r="C46" s="17" t="s">
        <v>1908</v>
      </c>
      <c r="D46" s="41">
        <f>'Stavební rozpočet'!I749</f>
        <v>0</v>
      </c>
      <c r="E46" s="41">
        <f>'Stavební rozpočet'!J749</f>
        <v>0</v>
      </c>
      <c r="F46" s="41">
        <f>'Stavební rozpočet'!K749</f>
        <v>0</v>
      </c>
      <c r="G46" s="63">
        <f>'Stavební rozpočet'!M749</f>
        <v>0</v>
      </c>
      <c r="H46" s="59" t="s">
        <v>2499</v>
      </c>
      <c r="I46" s="41">
        <f t="shared" si="0"/>
        <v>0</v>
      </c>
    </row>
    <row r="47" spans="1:9" x14ac:dyDescent="0.3">
      <c r="A47" s="51"/>
      <c r="B47" s="17" t="s">
        <v>1329</v>
      </c>
      <c r="C47" s="17" t="s">
        <v>1925</v>
      </c>
      <c r="D47" s="41">
        <f>'Stavební rozpočet'!I751</f>
        <v>0</v>
      </c>
      <c r="E47" s="41">
        <f>'Stavební rozpočet'!J751</f>
        <v>0</v>
      </c>
      <c r="F47" s="41">
        <f>'Stavební rozpočet'!K751</f>
        <v>0</v>
      </c>
      <c r="G47" s="63">
        <f>'Stavební rozpočet'!M751</f>
        <v>0</v>
      </c>
      <c r="H47" s="59" t="s">
        <v>2499</v>
      </c>
      <c r="I47" s="41">
        <f t="shared" si="0"/>
        <v>0</v>
      </c>
    </row>
    <row r="48" spans="1:9" x14ac:dyDescent="0.3">
      <c r="A48" s="51"/>
      <c r="B48" s="17" t="s">
        <v>1331</v>
      </c>
      <c r="C48" s="17" t="s">
        <v>2035</v>
      </c>
      <c r="D48" s="41">
        <f>'Stavební rozpočet'!I753</f>
        <v>0</v>
      </c>
      <c r="E48" s="41">
        <f>'Stavební rozpočet'!J753</f>
        <v>0</v>
      </c>
      <c r="F48" s="41">
        <f>'Stavební rozpočet'!K753</f>
        <v>0</v>
      </c>
      <c r="G48" s="63">
        <f>'Stavební rozpočet'!M753</f>
        <v>0</v>
      </c>
      <c r="H48" s="59" t="s">
        <v>2499</v>
      </c>
      <c r="I48" s="41">
        <f t="shared" si="0"/>
        <v>0</v>
      </c>
    </row>
    <row r="49" spans="1:9" x14ac:dyDescent="0.3">
      <c r="A49" s="51"/>
      <c r="B49" s="17" t="s">
        <v>1333</v>
      </c>
      <c r="C49" s="17" t="s">
        <v>2056</v>
      </c>
      <c r="D49" s="41">
        <f>'Stavební rozpočet'!I755</f>
        <v>0</v>
      </c>
      <c r="E49" s="41">
        <f>'Stavební rozpočet'!J755</f>
        <v>0</v>
      </c>
      <c r="F49" s="41">
        <f>'Stavební rozpočet'!K755</f>
        <v>0</v>
      </c>
      <c r="G49" s="63">
        <f>'Stavební rozpočet'!M755</f>
        <v>0</v>
      </c>
      <c r="H49" s="59" t="s">
        <v>2499</v>
      </c>
      <c r="I49" s="41">
        <f t="shared" si="0"/>
        <v>0</v>
      </c>
    </row>
    <row r="50" spans="1:9" x14ac:dyDescent="0.3">
      <c r="A50" s="51"/>
      <c r="B50" s="17" t="s">
        <v>1335</v>
      </c>
      <c r="C50" s="17" t="s">
        <v>2135</v>
      </c>
      <c r="D50" s="41">
        <f>'Stavební rozpočet'!I757</f>
        <v>0</v>
      </c>
      <c r="E50" s="41">
        <f>'Stavební rozpočet'!J757</f>
        <v>0</v>
      </c>
      <c r="F50" s="41">
        <f>'Stavební rozpočet'!K757</f>
        <v>0</v>
      </c>
      <c r="G50" s="63">
        <f>'Stavební rozpočet'!M757</f>
        <v>0</v>
      </c>
      <c r="H50" s="59" t="s">
        <v>2499</v>
      </c>
      <c r="I50" s="41">
        <f t="shared" si="0"/>
        <v>0</v>
      </c>
    </row>
    <row r="51" spans="1:9" x14ac:dyDescent="0.3">
      <c r="A51" s="51"/>
      <c r="B51" s="17" t="s">
        <v>1337</v>
      </c>
      <c r="C51" s="17" t="s">
        <v>2070</v>
      </c>
      <c r="D51" s="41">
        <f>'Stavební rozpočet'!I759</f>
        <v>0</v>
      </c>
      <c r="E51" s="41">
        <f>'Stavební rozpočet'!J759</f>
        <v>0</v>
      </c>
      <c r="F51" s="41">
        <f>'Stavební rozpočet'!K759</f>
        <v>0</v>
      </c>
      <c r="G51" s="63">
        <f>'Stavební rozpočet'!M759</f>
        <v>0</v>
      </c>
      <c r="H51" s="59" t="s">
        <v>2499</v>
      </c>
      <c r="I51" s="41">
        <f t="shared" si="0"/>
        <v>0</v>
      </c>
    </row>
    <row r="52" spans="1:9" x14ac:dyDescent="0.3">
      <c r="A52" s="51"/>
      <c r="B52" s="17" t="s">
        <v>1339</v>
      </c>
      <c r="C52" s="17" t="s">
        <v>2138</v>
      </c>
      <c r="D52" s="41">
        <f>'Stavební rozpočet'!I761</f>
        <v>0</v>
      </c>
      <c r="E52" s="41">
        <f>'Stavební rozpočet'!J761</f>
        <v>0</v>
      </c>
      <c r="F52" s="41">
        <f>'Stavební rozpočet'!K761</f>
        <v>0</v>
      </c>
      <c r="G52" s="63">
        <f>'Stavební rozpočet'!M761</f>
        <v>0</v>
      </c>
      <c r="H52" s="59" t="s">
        <v>2499</v>
      </c>
      <c r="I52" s="41">
        <f t="shared" si="0"/>
        <v>0</v>
      </c>
    </row>
    <row r="53" spans="1:9" x14ac:dyDescent="0.3">
      <c r="A53" s="51"/>
      <c r="B53" s="17" t="s">
        <v>1341</v>
      </c>
      <c r="C53" s="17" t="s">
        <v>2140</v>
      </c>
      <c r="D53" s="41">
        <f>'Stavební rozpočet'!I763</f>
        <v>0</v>
      </c>
      <c r="E53" s="41">
        <f>'Stavební rozpočet'!J763</f>
        <v>0</v>
      </c>
      <c r="F53" s="41">
        <f>'Stavební rozpočet'!K763</f>
        <v>0</v>
      </c>
      <c r="G53" s="63">
        <f>'Stavební rozpočet'!M763</f>
        <v>0</v>
      </c>
      <c r="H53" s="59" t="s">
        <v>2499</v>
      </c>
      <c r="I53" s="41">
        <f t="shared" si="0"/>
        <v>0</v>
      </c>
    </row>
    <row r="54" spans="1:9" x14ac:dyDescent="0.3">
      <c r="A54" s="51"/>
      <c r="B54" s="17" t="s">
        <v>1343</v>
      </c>
      <c r="C54" s="17" t="s">
        <v>2142</v>
      </c>
      <c r="D54" s="41">
        <f>'Stavební rozpočet'!I765</f>
        <v>0</v>
      </c>
      <c r="E54" s="41">
        <f>'Stavební rozpočet'!J765</f>
        <v>0</v>
      </c>
      <c r="F54" s="41">
        <f>'Stavební rozpočet'!K765</f>
        <v>0</v>
      </c>
      <c r="G54" s="63">
        <f>'Stavební rozpočet'!M765</f>
        <v>0</v>
      </c>
      <c r="H54" s="59" t="s">
        <v>2499</v>
      </c>
      <c r="I54" s="41">
        <f t="shared" si="0"/>
        <v>0</v>
      </c>
    </row>
    <row r="55" spans="1:9" x14ac:dyDescent="0.3">
      <c r="A55" s="51"/>
      <c r="B55" s="17" t="s">
        <v>1379</v>
      </c>
      <c r="C55" s="17" t="s">
        <v>2178</v>
      </c>
      <c r="D55" s="41">
        <f>'Stavební rozpočet'!I802</f>
        <v>0</v>
      </c>
      <c r="E55" s="41">
        <f>'Stavební rozpočet'!J802</f>
        <v>0</v>
      </c>
      <c r="F55" s="41">
        <f>'Stavební rozpočet'!K802</f>
        <v>0</v>
      </c>
      <c r="G55" s="63">
        <f>'Stavební rozpočet'!M802</f>
        <v>0.22995000000000002</v>
      </c>
      <c r="H55" s="59" t="s">
        <v>2499</v>
      </c>
      <c r="I55" s="41">
        <f t="shared" si="0"/>
        <v>0</v>
      </c>
    </row>
    <row r="56" spans="1:9" x14ac:dyDescent="0.3">
      <c r="A56" s="51"/>
      <c r="B56" s="17" t="s">
        <v>1439</v>
      </c>
      <c r="C56" s="17" t="s">
        <v>2220</v>
      </c>
      <c r="D56" s="41">
        <f>'Stavební rozpočet'!I862</f>
        <v>0</v>
      </c>
      <c r="E56" s="41">
        <f>'Stavební rozpočet'!J862</f>
        <v>0</v>
      </c>
      <c r="F56" s="41">
        <f>'Stavební rozpočet'!K862</f>
        <v>0</v>
      </c>
      <c r="G56" s="63">
        <f>'Stavební rozpočet'!M862</f>
        <v>0</v>
      </c>
      <c r="H56" s="59" t="s">
        <v>2499</v>
      </c>
      <c r="I56" s="41">
        <f t="shared" si="0"/>
        <v>0</v>
      </c>
    </row>
    <row r="57" spans="1:9" x14ac:dyDescent="0.3">
      <c r="A57" s="51"/>
      <c r="B57" s="17" t="s">
        <v>1489</v>
      </c>
      <c r="C57" s="17" t="s">
        <v>2253</v>
      </c>
      <c r="D57" s="41">
        <f>'Stavební rozpočet'!I912</f>
        <v>0</v>
      </c>
      <c r="E57" s="41">
        <f>'Stavební rozpočet'!J912</f>
        <v>0</v>
      </c>
      <c r="F57" s="41">
        <f>'Stavební rozpočet'!K912</f>
        <v>0</v>
      </c>
      <c r="G57" s="63">
        <f>'Stavební rozpočet'!M912</f>
        <v>0</v>
      </c>
      <c r="H57" s="59" t="s">
        <v>2499</v>
      </c>
      <c r="I57" s="41">
        <f t="shared" si="0"/>
        <v>0</v>
      </c>
    </row>
    <row r="58" spans="1:9" x14ac:dyDescent="0.3">
      <c r="A58" s="52"/>
      <c r="B58" s="55" t="s">
        <v>1581</v>
      </c>
      <c r="C58" s="55" t="s">
        <v>2338</v>
      </c>
      <c r="D58" s="61">
        <f>'Stavební rozpočet'!I1004</f>
        <v>0</v>
      </c>
      <c r="E58" s="61">
        <f>'Stavební rozpočet'!J1004</f>
        <v>0</v>
      </c>
      <c r="F58" s="61">
        <f>'Stavební rozpočet'!K1004</f>
        <v>0</v>
      </c>
      <c r="G58" s="64">
        <f>'Stavební rozpočet'!M1004</f>
        <v>0</v>
      </c>
      <c r="H58" s="59" t="s">
        <v>2499</v>
      </c>
      <c r="I58" s="41">
        <f t="shared" si="0"/>
        <v>0</v>
      </c>
    </row>
    <row r="59" spans="1:9" x14ac:dyDescent="0.3">
      <c r="A59" s="8"/>
      <c r="B59" s="8"/>
      <c r="C59" s="8"/>
      <c r="D59" s="8"/>
      <c r="E59" s="27" t="s">
        <v>2406</v>
      </c>
      <c r="F59" s="48">
        <f>SUM(I11:I58)</f>
        <v>0</v>
      </c>
      <c r="G59" s="8"/>
    </row>
  </sheetData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6"/>
  <sheetViews>
    <sheetView workbookViewId="0">
      <pane ySplit="10" topLeftCell="A766" activePane="bottomLeft" state="frozenSplit"/>
      <selection pane="bottomLeft" activeCell="F10" sqref="F10"/>
    </sheetView>
  </sheetViews>
  <sheetFormatPr defaultColWidth="11.53515625" defaultRowHeight="12.45" x14ac:dyDescent="0.3"/>
  <cols>
    <col min="1" max="2" width="9.15234375" customWidth="1"/>
    <col min="3" max="3" width="13.3046875" customWidth="1"/>
    <col min="4" max="4" width="94.69140625" customWidth="1"/>
    <col min="5" max="5" width="49.15234375" customWidth="1"/>
    <col min="6" max="6" width="24.15234375" customWidth="1"/>
    <col min="7" max="7" width="15.69140625" customWidth="1"/>
    <col min="8" max="8" width="18.15234375" customWidth="1"/>
  </cols>
  <sheetData>
    <row r="1" spans="1:9" ht="73" customHeight="1" x14ac:dyDescent="0.5">
      <c r="A1" s="127" t="s">
        <v>2500</v>
      </c>
      <c r="B1" s="128"/>
      <c r="C1" s="128"/>
      <c r="D1" s="128"/>
      <c r="E1" s="128"/>
      <c r="F1" s="128"/>
      <c r="G1" s="128"/>
      <c r="H1" s="128"/>
    </row>
    <row r="2" spans="1:9" x14ac:dyDescent="0.3">
      <c r="A2" s="129" t="s">
        <v>1</v>
      </c>
      <c r="B2" s="130"/>
      <c r="C2" s="131" t="str">
        <f>'Stavební rozpočet'!D2</f>
        <v>Návrh interiérového řešení paláce Dunaj, kanceláře ČAK</v>
      </c>
      <c r="D2" s="98"/>
      <c r="E2" s="134" t="s">
        <v>2400</v>
      </c>
      <c r="F2" s="134" t="str">
        <f>'Stavební rozpočet'!J2</f>
        <v>Česká advokát. komora, Národní 118/16, Praha 1</v>
      </c>
      <c r="G2" s="130"/>
      <c r="H2" s="135"/>
      <c r="I2" s="39"/>
    </row>
    <row r="3" spans="1:9" x14ac:dyDescent="0.3">
      <c r="A3" s="125"/>
      <c r="B3" s="100"/>
      <c r="C3" s="132"/>
      <c r="D3" s="132"/>
      <c r="E3" s="100"/>
      <c r="F3" s="100"/>
      <c r="G3" s="100"/>
      <c r="H3" s="124"/>
      <c r="I3" s="39"/>
    </row>
    <row r="4" spans="1:9" x14ac:dyDescent="0.3">
      <c r="A4" s="118" t="s">
        <v>2</v>
      </c>
      <c r="B4" s="100"/>
      <c r="C4" s="99" t="str">
        <f>'Stavební rozpočet'!D4</f>
        <v>Kanceláře ČAK</v>
      </c>
      <c r="D4" s="100"/>
      <c r="E4" s="99" t="s">
        <v>2401</v>
      </c>
      <c r="F4" s="99" t="str">
        <f>'Stavební rozpočet'!J4</f>
        <v>Sdružení proj. Ateliér 4+MÓD architekti,</v>
      </c>
      <c r="G4" s="100"/>
      <c r="H4" s="124"/>
      <c r="I4" s="39"/>
    </row>
    <row r="5" spans="1:9" x14ac:dyDescent="0.3">
      <c r="A5" s="125"/>
      <c r="B5" s="100"/>
      <c r="C5" s="100"/>
      <c r="D5" s="100"/>
      <c r="E5" s="100"/>
      <c r="F5" s="100"/>
      <c r="G5" s="100"/>
      <c r="H5" s="124"/>
      <c r="I5" s="39"/>
    </row>
    <row r="6" spans="1:9" x14ac:dyDescent="0.3">
      <c r="A6" s="118" t="s">
        <v>3</v>
      </c>
      <c r="B6" s="100"/>
      <c r="C6" s="99" t="str">
        <f>'Stavební rozpočet'!D6</f>
        <v>Národní 10, Praha 1, 1. až 3.NP</v>
      </c>
      <c r="D6" s="100"/>
      <c r="E6" s="99" t="s">
        <v>2402</v>
      </c>
      <c r="F6" s="99" t="str">
        <f>'Stavební rozpočet'!J6</f>
        <v> </v>
      </c>
      <c r="G6" s="100"/>
      <c r="H6" s="124"/>
      <c r="I6" s="39"/>
    </row>
    <row r="7" spans="1:9" x14ac:dyDescent="0.3">
      <c r="A7" s="125"/>
      <c r="B7" s="100"/>
      <c r="C7" s="100"/>
      <c r="D7" s="100"/>
      <c r="E7" s="100"/>
      <c r="F7" s="100"/>
      <c r="G7" s="100"/>
      <c r="H7" s="124"/>
      <c r="I7" s="39"/>
    </row>
    <row r="8" spans="1:9" x14ac:dyDescent="0.3">
      <c r="A8" s="118" t="s">
        <v>2403</v>
      </c>
      <c r="B8" s="100"/>
      <c r="C8" s="99" t="str">
        <f>'Stavební rozpočet'!J8</f>
        <v>Ing. Petr FILIP - autor.osoba ČKAIT</v>
      </c>
      <c r="D8" s="100"/>
      <c r="E8" s="99" t="s">
        <v>2382</v>
      </c>
      <c r="F8" s="141">
        <v>44869</v>
      </c>
      <c r="G8" s="100"/>
      <c r="H8" s="124"/>
      <c r="I8" s="39"/>
    </row>
    <row r="9" spans="1:9" x14ac:dyDescent="0.3">
      <c r="A9" s="119"/>
      <c r="B9" s="120"/>
      <c r="C9" s="120"/>
      <c r="D9" s="120"/>
      <c r="E9" s="120"/>
      <c r="F9" s="120"/>
      <c r="G9" s="120"/>
      <c r="H9" s="123"/>
      <c r="I9" s="39"/>
    </row>
    <row r="10" spans="1:9" x14ac:dyDescent="0.3">
      <c r="A10" s="53" t="s">
        <v>5</v>
      </c>
      <c r="B10" s="56" t="s">
        <v>1004</v>
      </c>
      <c r="C10" s="56" t="s">
        <v>1006</v>
      </c>
      <c r="D10" s="139" t="s">
        <v>1627</v>
      </c>
      <c r="E10" s="140"/>
      <c r="F10" s="56" t="s">
        <v>2383</v>
      </c>
      <c r="G10" s="68" t="s">
        <v>2397</v>
      </c>
      <c r="H10" s="71" t="s">
        <v>2674</v>
      </c>
      <c r="I10" s="40"/>
    </row>
    <row r="11" spans="1:9" x14ac:dyDescent="0.3">
      <c r="A11" s="65"/>
      <c r="B11" s="12"/>
      <c r="C11" s="12" t="s">
        <v>1007</v>
      </c>
      <c r="D11" s="114" t="s">
        <v>1629</v>
      </c>
      <c r="E11" s="115"/>
      <c r="F11" s="12"/>
      <c r="G11" s="30"/>
      <c r="H11" s="34"/>
      <c r="I11" s="39"/>
    </row>
    <row r="12" spans="1:9" x14ac:dyDescent="0.3">
      <c r="A12" s="4" t="s">
        <v>7</v>
      </c>
      <c r="B12" s="13"/>
      <c r="C12" s="13" t="s">
        <v>1008</v>
      </c>
      <c r="D12" s="101" t="s">
        <v>1630</v>
      </c>
      <c r="E12" s="102"/>
      <c r="F12" s="13" t="s">
        <v>2384</v>
      </c>
      <c r="G12" s="21">
        <v>52</v>
      </c>
      <c r="H12" s="72">
        <v>0</v>
      </c>
      <c r="I12" s="39"/>
    </row>
    <row r="13" spans="1:9" x14ac:dyDescent="0.3">
      <c r="A13" s="4" t="s">
        <v>8</v>
      </c>
      <c r="B13" s="13"/>
      <c r="C13" s="13" t="s">
        <v>1009</v>
      </c>
      <c r="D13" s="101" t="s">
        <v>1631</v>
      </c>
      <c r="E13" s="102"/>
      <c r="F13" s="13" t="s">
        <v>2384</v>
      </c>
      <c r="G13" s="21">
        <v>52</v>
      </c>
      <c r="H13" s="72">
        <v>0</v>
      </c>
      <c r="I13" s="39"/>
    </row>
    <row r="14" spans="1:9" x14ac:dyDescent="0.3">
      <c r="A14" s="4" t="s">
        <v>9</v>
      </c>
      <c r="B14" s="13"/>
      <c r="C14" s="13" t="s">
        <v>1010</v>
      </c>
      <c r="D14" s="101" t="s">
        <v>1632</v>
      </c>
      <c r="E14" s="102"/>
      <c r="F14" s="13" t="s">
        <v>2384</v>
      </c>
      <c r="G14" s="21">
        <v>7</v>
      </c>
      <c r="H14" s="72">
        <v>0</v>
      </c>
      <c r="I14" s="39"/>
    </row>
    <row r="15" spans="1:9" x14ac:dyDescent="0.3">
      <c r="A15" s="4" t="s">
        <v>10</v>
      </c>
      <c r="B15" s="13"/>
      <c r="C15" s="13" t="s">
        <v>1011</v>
      </c>
      <c r="D15" s="101" t="s">
        <v>1633</v>
      </c>
      <c r="E15" s="102"/>
      <c r="F15" s="13" t="s">
        <v>2384</v>
      </c>
      <c r="G15" s="21">
        <v>7</v>
      </c>
      <c r="H15" s="72">
        <v>0</v>
      </c>
      <c r="I15" s="39"/>
    </row>
    <row r="16" spans="1:9" x14ac:dyDescent="0.3">
      <c r="A16" s="4" t="s">
        <v>11</v>
      </c>
      <c r="B16" s="13"/>
      <c r="C16" s="13" t="s">
        <v>1012</v>
      </c>
      <c r="D16" s="101" t="s">
        <v>1634</v>
      </c>
      <c r="E16" s="102"/>
      <c r="F16" s="13" t="s">
        <v>2384</v>
      </c>
      <c r="G16" s="21">
        <v>1</v>
      </c>
      <c r="H16" s="72">
        <v>0</v>
      </c>
      <c r="I16" s="39"/>
    </row>
    <row r="17" spans="1:9" x14ac:dyDescent="0.3">
      <c r="A17" s="4" t="s">
        <v>12</v>
      </c>
      <c r="B17" s="13"/>
      <c r="C17" s="13" t="s">
        <v>1013</v>
      </c>
      <c r="D17" s="101" t="s">
        <v>1635</v>
      </c>
      <c r="E17" s="102"/>
      <c r="F17" s="13" t="s">
        <v>2384</v>
      </c>
      <c r="G17" s="21">
        <v>1</v>
      </c>
      <c r="H17" s="72">
        <v>0</v>
      </c>
      <c r="I17" s="39"/>
    </row>
    <row r="18" spans="1:9" x14ac:dyDescent="0.3">
      <c r="A18" s="4" t="s">
        <v>13</v>
      </c>
      <c r="B18" s="13"/>
      <c r="C18" s="13" t="s">
        <v>1014</v>
      </c>
      <c r="D18" s="101" t="s">
        <v>1636</v>
      </c>
      <c r="E18" s="102"/>
      <c r="F18" s="13" t="s">
        <v>2384</v>
      </c>
      <c r="G18" s="21">
        <v>1</v>
      </c>
      <c r="H18" s="72">
        <v>0</v>
      </c>
      <c r="I18" s="39"/>
    </row>
    <row r="19" spans="1:9" x14ac:dyDescent="0.3">
      <c r="A19" s="4" t="s">
        <v>14</v>
      </c>
      <c r="B19" s="13"/>
      <c r="C19" s="13" t="s">
        <v>1015</v>
      </c>
      <c r="D19" s="101" t="s">
        <v>1637</v>
      </c>
      <c r="E19" s="102"/>
      <c r="F19" s="13" t="s">
        <v>2384</v>
      </c>
      <c r="G19" s="21">
        <v>1</v>
      </c>
      <c r="H19" s="72">
        <v>0</v>
      </c>
      <c r="I19" s="39"/>
    </row>
    <row r="20" spans="1:9" x14ac:dyDescent="0.3">
      <c r="A20" s="4" t="s">
        <v>15</v>
      </c>
      <c r="B20" s="13"/>
      <c r="C20" s="13" t="s">
        <v>1016</v>
      </c>
      <c r="D20" s="101" t="s">
        <v>1638</v>
      </c>
      <c r="E20" s="102"/>
      <c r="F20" s="13" t="s">
        <v>2384</v>
      </c>
      <c r="G20" s="21">
        <v>17</v>
      </c>
      <c r="H20" s="72">
        <v>0</v>
      </c>
      <c r="I20" s="39"/>
    </row>
    <row r="21" spans="1:9" x14ac:dyDescent="0.3">
      <c r="A21" s="4" t="s">
        <v>16</v>
      </c>
      <c r="B21" s="13"/>
      <c r="C21" s="13" t="s">
        <v>1017</v>
      </c>
      <c r="D21" s="101" t="s">
        <v>1639</v>
      </c>
      <c r="E21" s="102"/>
      <c r="F21" s="13" t="s">
        <v>2384</v>
      </c>
      <c r="G21" s="21">
        <v>3</v>
      </c>
      <c r="H21" s="72">
        <v>0</v>
      </c>
      <c r="I21" s="39"/>
    </row>
    <row r="22" spans="1:9" x14ac:dyDescent="0.3">
      <c r="A22" s="4" t="s">
        <v>17</v>
      </c>
      <c r="B22" s="13"/>
      <c r="C22" s="13" t="s">
        <v>1018</v>
      </c>
      <c r="D22" s="101" t="s">
        <v>1640</v>
      </c>
      <c r="E22" s="102"/>
      <c r="F22" s="13" t="s">
        <v>2385</v>
      </c>
      <c r="G22" s="21">
        <v>1026</v>
      </c>
      <c r="H22" s="72">
        <v>0</v>
      </c>
      <c r="I22" s="39"/>
    </row>
    <row r="23" spans="1:9" x14ac:dyDescent="0.3">
      <c r="A23" s="4" t="s">
        <v>18</v>
      </c>
      <c r="B23" s="13"/>
      <c r="C23" s="13" t="s">
        <v>1019</v>
      </c>
      <c r="D23" s="101" t="s">
        <v>1641</v>
      </c>
      <c r="E23" s="102"/>
      <c r="F23" s="13" t="s">
        <v>2385</v>
      </c>
      <c r="G23" s="21">
        <v>235</v>
      </c>
      <c r="H23" s="72">
        <v>0</v>
      </c>
      <c r="I23" s="39"/>
    </row>
    <row r="24" spans="1:9" x14ac:dyDescent="0.3">
      <c r="A24" s="4" t="s">
        <v>19</v>
      </c>
      <c r="B24" s="13"/>
      <c r="C24" s="13" t="s">
        <v>1020</v>
      </c>
      <c r="D24" s="101" t="s">
        <v>1642</v>
      </c>
      <c r="E24" s="102"/>
      <c r="F24" s="13" t="s">
        <v>2385</v>
      </c>
      <c r="G24" s="21">
        <v>475</v>
      </c>
      <c r="H24" s="72">
        <v>0</v>
      </c>
      <c r="I24" s="39"/>
    </row>
    <row r="25" spans="1:9" x14ac:dyDescent="0.3">
      <c r="A25" s="4" t="s">
        <v>20</v>
      </c>
      <c r="B25" s="13"/>
      <c r="C25" s="13" t="s">
        <v>1021</v>
      </c>
      <c r="D25" s="101" t="s">
        <v>1643</v>
      </c>
      <c r="E25" s="102"/>
      <c r="F25" s="13" t="s">
        <v>2384</v>
      </c>
      <c r="G25" s="21">
        <v>110</v>
      </c>
      <c r="H25" s="72">
        <v>0</v>
      </c>
      <c r="I25" s="39"/>
    </row>
    <row r="26" spans="1:9" x14ac:dyDescent="0.3">
      <c r="A26" s="4" t="s">
        <v>21</v>
      </c>
      <c r="B26" s="13"/>
      <c r="C26" s="13" t="s">
        <v>1022</v>
      </c>
      <c r="D26" s="101" t="s">
        <v>1644</v>
      </c>
      <c r="E26" s="102"/>
      <c r="F26" s="13" t="s">
        <v>2385</v>
      </c>
      <c r="G26" s="21">
        <v>1000</v>
      </c>
      <c r="H26" s="72">
        <v>0</v>
      </c>
      <c r="I26" s="39"/>
    </row>
    <row r="27" spans="1:9" x14ac:dyDescent="0.3">
      <c r="A27" s="4" t="s">
        <v>22</v>
      </c>
      <c r="B27" s="13"/>
      <c r="C27" s="13" t="s">
        <v>1023</v>
      </c>
      <c r="D27" s="101" t="s">
        <v>1645</v>
      </c>
      <c r="E27" s="102"/>
      <c r="F27" s="13" t="s">
        <v>2385</v>
      </c>
      <c r="G27" s="21">
        <v>450</v>
      </c>
      <c r="H27" s="72">
        <v>0</v>
      </c>
      <c r="I27" s="39"/>
    </row>
    <row r="28" spans="1:9" x14ac:dyDescent="0.3">
      <c r="A28" s="4" t="s">
        <v>23</v>
      </c>
      <c r="B28" s="13"/>
      <c r="C28" s="13" t="s">
        <v>1024</v>
      </c>
      <c r="D28" s="101" t="s">
        <v>1646</v>
      </c>
      <c r="E28" s="102"/>
      <c r="F28" s="13" t="s">
        <v>2384</v>
      </c>
      <c r="G28" s="21">
        <v>2500</v>
      </c>
      <c r="H28" s="72">
        <v>0</v>
      </c>
      <c r="I28" s="39"/>
    </row>
    <row r="29" spans="1:9" x14ac:dyDescent="0.3">
      <c r="A29" s="4" t="s">
        <v>24</v>
      </c>
      <c r="B29" s="13"/>
      <c r="C29" s="13" t="s">
        <v>1025</v>
      </c>
      <c r="D29" s="101" t="s">
        <v>1647</v>
      </c>
      <c r="E29" s="102"/>
      <c r="F29" s="13" t="s">
        <v>2384</v>
      </c>
      <c r="G29" s="21">
        <v>2300</v>
      </c>
      <c r="H29" s="72">
        <v>0</v>
      </c>
      <c r="I29" s="39"/>
    </row>
    <row r="30" spans="1:9" x14ac:dyDescent="0.3">
      <c r="A30" s="4" t="s">
        <v>25</v>
      </c>
      <c r="B30" s="13"/>
      <c r="C30" s="13" t="s">
        <v>1026</v>
      </c>
      <c r="D30" s="101" t="s">
        <v>1648</v>
      </c>
      <c r="E30" s="102"/>
      <c r="F30" s="13" t="s">
        <v>2384</v>
      </c>
      <c r="G30" s="21">
        <v>1</v>
      </c>
      <c r="H30" s="72">
        <v>0</v>
      </c>
      <c r="I30" s="39"/>
    </row>
    <row r="31" spans="1:9" x14ac:dyDescent="0.3">
      <c r="A31" s="4" t="s">
        <v>26</v>
      </c>
      <c r="B31" s="13"/>
      <c r="C31" s="13" t="s">
        <v>1027</v>
      </c>
      <c r="D31" s="101" t="s">
        <v>1649</v>
      </c>
      <c r="E31" s="102"/>
      <c r="F31" s="13" t="s">
        <v>2386</v>
      </c>
      <c r="G31" s="21">
        <v>1</v>
      </c>
      <c r="H31" s="72">
        <v>0</v>
      </c>
      <c r="I31" s="39"/>
    </row>
    <row r="32" spans="1:9" x14ac:dyDescent="0.3">
      <c r="A32" s="4" t="s">
        <v>27</v>
      </c>
      <c r="B32" s="13"/>
      <c r="C32" s="13" t="s">
        <v>1028</v>
      </c>
      <c r="D32" s="101" t="s">
        <v>1650</v>
      </c>
      <c r="E32" s="102"/>
      <c r="F32" s="13" t="s">
        <v>2386</v>
      </c>
      <c r="G32" s="21">
        <v>1</v>
      </c>
      <c r="H32" s="72">
        <v>0</v>
      </c>
      <c r="I32" s="39"/>
    </row>
    <row r="33" spans="1:9" x14ac:dyDescent="0.3">
      <c r="A33" s="4" t="s">
        <v>28</v>
      </c>
      <c r="B33" s="13"/>
      <c r="C33" s="13" t="s">
        <v>1029</v>
      </c>
      <c r="D33" s="101" t="s">
        <v>1651</v>
      </c>
      <c r="E33" s="102"/>
      <c r="F33" s="13" t="s">
        <v>2386</v>
      </c>
      <c r="G33" s="21">
        <v>1</v>
      </c>
      <c r="H33" s="72">
        <v>0</v>
      </c>
      <c r="I33" s="39"/>
    </row>
    <row r="34" spans="1:9" x14ac:dyDescent="0.3">
      <c r="A34" s="4" t="s">
        <v>29</v>
      </c>
      <c r="B34" s="13"/>
      <c r="C34" s="13" t="s">
        <v>1030</v>
      </c>
      <c r="D34" s="101" t="s">
        <v>1652</v>
      </c>
      <c r="E34" s="102"/>
      <c r="F34" s="13" t="s">
        <v>2386</v>
      </c>
      <c r="G34" s="21">
        <v>1</v>
      </c>
      <c r="H34" s="72">
        <v>0</v>
      </c>
      <c r="I34" s="39"/>
    </row>
    <row r="35" spans="1:9" x14ac:dyDescent="0.3">
      <c r="A35" s="4" t="s">
        <v>30</v>
      </c>
      <c r="B35" s="13"/>
      <c r="C35" s="13" t="s">
        <v>1031</v>
      </c>
      <c r="D35" s="101" t="s">
        <v>1653</v>
      </c>
      <c r="E35" s="102"/>
      <c r="F35" s="13" t="s">
        <v>2386</v>
      </c>
      <c r="G35" s="21">
        <v>1</v>
      </c>
      <c r="H35" s="72">
        <v>0</v>
      </c>
      <c r="I35" s="39"/>
    </row>
    <row r="36" spans="1:9" x14ac:dyDescent="0.3">
      <c r="A36" s="4" t="s">
        <v>31</v>
      </c>
      <c r="B36" s="13"/>
      <c r="C36" s="13" t="s">
        <v>1032</v>
      </c>
      <c r="D36" s="101" t="s">
        <v>1654</v>
      </c>
      <c r="E36" s="102"/>
      <c r="F36" s="13" t="s">
        <v>2386</v>
      </c>
      <c r="G36" s="21">
        <v>1</v>
      </c>
      <c r="H36" s="72">
        <v>0</v>
      </c>
      <c r="I36" s="39"/>
    </row>
    <row r="37" spans="1:9" x14ac:dyDescent="0.3">
      <c r="A37" s="4" t="s">
        <v>32</v>
      </c>
      <c r="B37" s="13"/>
      <c r="C37" s="13" t="s">
        <v>1033</v>
      </c>
      <c r="D37" s="101" t="s">
        <v>1655</v>
      </c>
      <c r="E37" s="102"/>
      <c r="F37" s="13" t="s">
        <v>2386</v>
      </c>
      <c r="G37" s="21">
        <v>1</v>
      </c>
      <c r="H37" s="72">
        <v>0</v>
      </c>
      <c r="I37" s="39"/>
    </row>
    <row r="38" spans="1:9" x14ac:dyDescent="0.3">
      <c r="A38" s="4" t="s">
        <v>33</v>
      </c>
      <c r="B38" s="13"/>
      <c r="C38" s="13" t="s">
        <v>1034</v>
      </c>
      <c r="D38" s="101" t="s">
        <v>1656</v>
      </c>
      <c r="E38" s="102"/>
      <c r="F38" s="13" t="s">
        <v>2386</v>
      </c>
      <c r="G38" s="21">
        <v>1</v>
      </c>
      <c r="H38" s="72">
        <v>0</v>
      </c>
      <c r="I38" s="39"/>
    </row>
    <row r="39" spans="1:9" x14ac:dyDescent="0.3">
      <c r="A39" s="4" t="s">
        <v>34</v>
      </c>
      <c r="B39" s="13"/>
      <c r="C39" s="13" t="s">
        <v>1035</v>
      </c>
      <c r="D39" s="101" t="s">
        <v>1657</v>
      </c>
      <c r="E39" s="102"/>
      <c r="F39" s="13" t="s">
        <v>2386</v>
      </c>
      <c r="G39" s="21">
        <v>1</v>
      </c>
      <c r="H39" s="72">
        <v>0</v>
      </c>
      <c r="I39" s="39"/>
    </row>
    <row r="40" spans="1:9" x14ac:dyDescent="0.3">
      <c r="A40" s="4" t="s">
        <v>35</v>
      </c>
      <c r="B40" s="13"/>
      <c r="C40" s="13" t="s">
        <v>1036</v>
      </c>
      <c r="D40" s="101" t="s">
        <v>1658</v>
      </c>
      <c r="E40" s="102"/>
      <c r="F40" s="13" t="s">
        <v>2386</v>
      </c>
      <c r="G40" s="21">
        <v>1</v>
      </c>
      <c r="H40" s="72">
        <v>0</v>
      </c>
      <c r="I40" s="39"/>
    </row>
    <row r="41" spans="1:9" x14ac:dyDescent="0.3">
      <c r="A41" s="4" t="s">
        <v>36</v>
      </c>
      <c r="B41" s="13"/>
      <c r="C41" s="13" t="s">
        <v>1037</v>
      </c>
      <c r="D41" s="101" t="s">
        <v>1659</v>
      </c>
      <c r="E41" s="102"/>
      <c r="F41" s="13" t="s">
        <v>2386</v>
      </c>
      <c r="G41" s="21">
        <v>1</v>
      </c>
      <c r="H41" s="72">
        <v>0</v>
      </c>
      <c r="I41" s="39"/>
    </row>
    <row r="42" spans="1:9" x14ac:dyDescent="0.3">
      <c r="A42" s="4" t="s">
        <v>37</v>
      </c>
      <c r="B42" s="13"/>
      <c r="C42" s="13" t="s">
        <v>1038</v>
      </c>
      <c r="D42" s="101" t="s">
        <v>1660</v>
      </c>
      <c r="E42" s="102"/>
      <c r="F42" s="13" t="s">
        <v>2386</v>
      </c>
      <c r="G42" s="21">
        <v>1</v>
      </c>
      <c r="H42" s="72">
        <v>0</v>
      </c>
      <c r="I42" s="39"/>
    </row>
    <row r="43" spans="1:9" x14ac:dyDescent="0.3">
      <c r="A43" s="4" t="s">
        <v>38</v>
      </c>
      <c r="B43" s="13"/>
      <c r="C43" s="13" t="s">
        <v>1039</v>
      </c>
      <c r="D43" s="101" t="s">
        <v>1661</v>
      </c>
      <c r="E43" s="102"/>
      <c r="F43" s="13" t="s">
        <v>2386</v>
      </c>
      <c r="G43" s="21">
        <v>1</v>
      </c>
      <c r="H43" s="72">
        <v>0</v>
      </c>
      <c r="I43" s="39"/>
    </row>
    <row r="44" spans="1:9" x14ac:dyDescent="0.3">
      <c r="A44" s="4" t="s">
        <v>39</v>
      </c>
      <c r="B44" s="13"/>
      <c r="C44" s="13" t="s">
        <v>1040</v>
      </c>
      <c r="D44" s="101" t="s">
        <v>1662</v>
      </c>
      <c r="E44" s="102"/>
      <c r="F44" s="13" t="s">
        <v>2386</v>
      </c>
      <c r="G44" s="21">
        <v>1</v>
      </c>
      <c r="H44" s="72">
        <v>0</v>
      </c>
      <c r="I44" s="39"/>
    </row>
    <row r="45" spans="1:9" x14ac:dyDescent="0.3">
      <c r="A45" s="4" t="s">
        <v>40</v>
      </c>
      <c r="B45" s="13"/>
      <c r="C45" s="13" t="s">
        <v>1041</v>
      </c>
      <c r="D45" s="101" t="s">
        <v>1663</v>
      </c>
      <c r="E45" s="102"/>
      <c r="F45" s="13" t="s">
        <v>2386</v>
      </c>
      <c r="G45" s="21">
        <v>1</v>
      </c>
      <c r="H45" s="72">
        <v>0</v>
      </c>
      <c r="I45" s="39"/>
    </row>
    <row r="46" spans="1:9" x14ac:dyDescent="0.3">
      <c r="A46" s="4" t="s">
        <v>41</v>
      </c>
      <c r="B46" s="13"/>
      <c r="C46" s="13" t="s">
        <v>1042</v>
      </c>
      <c r="D46" s="101" t="s">
        <v>1664</v>
      </c>
      <c r="E46" s="102"/>
      <c r="F46" s="13" t="s">
        <v>2386</v>
      </c>
      <c r="G46" s="21">
        <v>1</v>
      </c>
      <c r="H46" s="72">
        <v>0</v>
      </c>
      <c r="I46" s="39"/>
    </row>
    <row r="47" spans="1:9" x14ac:dyDescent="0.3">
      <c r="A47" s="4" t="s">
        <v>42</v>
      </c>
      <c r="B47" s="13"/>
      <c r="C47" s="13" t="s">
        <v>1043</v>
      </c>
      <c r="D47" s="101" t="s">
        <v>1665</v>
      </c>
      <c r="E47" s="102"/>
      <c r="F47" s="13" t="s">
        <v>2386</v>
      </c>
      <c r="G47" s="21">
        <v>1</v>
      </c>
      <c r="H47" s="72">
        <v>0</v>
      </c>
      <c r="I47" s="39"/>
    </row>
    <row r="48" spans="1:9" x14ac:dyDescent="0.3">
      <c r="A48" s="4" t="s">
        <v>43</v>
      </c>
      <c r="B48" s="13"/>
      <c r="C48" s="13" t="s">
        <v>1044</v>
      </c>
      <c r="D48" s="101" t="s">
        <v>1666</v>
      </c>
      <c r="E48" s="102"/>
      <c r="F48" s="13" t="s">
        <v>2386</v>
      </c>
      <c r="G48" s="21">
        <v>1</v>
      </c>
      <c r="H48" s="72">
        <v>0</v>
      </c>
      <c r="I48" s="39"/>
    </row>
    <row r="49" spans="1:9" x14ac:dyDescent="0.3">
      <c r="A49" s="4" t="s">
        <v>44</v>
      </c>
      <c r="B49" s="13"/>
      <c r="C49" s="13" t="s">
        <v>1045</v>
      </c>
      <c r="D49" s="101" t="s">
        <v>1667</v>
      </c>
      <c r="E49" s="102"/>
      <c r="F49" s="13" t="s">
        <v>2386</v>
      </c>
      <c r="G49" s="21">
        <v>1</v>
      </c>
      <c r="H49" s="72">
        <v>0</v>
      </c>
      <c r="I49" s="39"/>
    </row>
    <row r="50" spans="1:9" x14ac:dyDescent="0.3">
      <c r="A50" s="4" t="s">
        <v>45</v>
      </c>
      <c r="B50" s="13"/>
      <c r="C50" s="13" t="s">
        <v>1046</v>
      </c>
      <c r="D50" s="101" t="s">
        <v>1668</v>
      </c>
      <c r="E50" s="102"/>
      <c r="F50" s="13" t="s">
        <v>2386</v>
      </c>
      <c r="G50" s="21">
        <v>1</v>
      </c>
      <c r="H50" s="72">
        <v>0</v>
      </c>
      <c r="I50" s="39"/>
    </row>
    <row r="51" spans="1:9" x14ac:dyDescent="0.3">
      <c r="A51" s="4" t="s">
        <v>46</v>
      </c>
      <c r="B51" s="13"/>
      <c r="C51" s="13" t="s">
        <v>1047</v>
      </c>
      <c r="D51" s="101" t="s">
        <v>1669</v>
      </c>
      <c r="E51" s="102"/>
      <c r="F51" s="13" t="s">
        <v>2386</v>
      </c>
      <c r="G51" s="21">
        <v>1</v>
      </c>
      <c r="H51" s="72">
        <v>0</v>
      </c>
      <c r="I51" s="39"/>
    </row>
    <row r="52" spans="1:9" x14ac:dyDescent="0.3">
      <c r="A52" s="66"/>
      <c r="B52" s="14"/>
      <c r="C52" s="14" t="s">
        <v>40</v>
      </c>
      <c r="D52" s="103" t="s">
        <v>1670</v>
      </c>
      <c r="E52" s="104"/>
      <c r="F52" s="14"/>
      <c r="G52" s="31"/>
      <c r="H52" s="36"/>
      <c r="I52" s="39"/>
    </row>
    <row r="53" spans="1:9" x14ac:dyDescent="0.3">
      <c r="A53" s="4" t="s">
        <v>47</v>
      </c>
      <c r="B53" s="13"/>
      <c r="C53" s="13" t="s">
        <v>1048</v>
      </c>
      <c r="D53" s="101" t="s">
        <v>1671</v>
      </c>
      <c r="E53" s="102"/>
      <c r="F53" s="13" t="s">
        <v>2387</v>
      </c>
      <c r="G53" s="21">
        <v>190.84469999999999</v>
      </c>
      <c r="H53" s="72">
        <v>0</v>
      </c>
      <c r="I53" s="39"/>
    </row>
    <row r="54" spans="1:9" ht="12.25" customHeight="1" x14ac:dyDescent="0.3">
      <c r="A54" s="4"/>
      <c r="B54" s="13"/>
      <c r="C54" s="13"/>
      <c r="D54" s="67" t="s">
        <v>2501</v>
      </c>
      <c r="E54" s="138"/>
      <c r="F54" s="138"/>
      <c r="G54" s="69">
        <v>90.713700000000003</v>
      </c>
      <c r="H54" s="35"/>
      <c r="I54" s="39"/>
    </row>
    <row r="55" spans="1:9" ht="12.25" customHeight="1" x14ac:dyDescent="0.3">
      <c r="A55" s="4"/>
      <c r="B55" s="13"/>
      <c r="C55" s="13"/>
      <c r="D55" s="67" t="s">
        <v>2502</v>
      </c>
      <c r="E55" s="138"/>
      <c r="F55" s="138"/>
      <c r="G55" s="69">
        <v>35.671500000000002</v>
      </c>
      <c r="H55" s="35"/>
      <c r="I55" s="39"/>
    </row>
    <row r="56" spans="1:9" ht="12.25" customHeight="1" x14ac:dyDescent="0.3">
      <c r="A56" s="4"/>
      <c r="B56" s="13"/>
      <c r="C56" s="13"/>
      <c r="D56" s="67" t="s">
        <v>2503</v>
      </c>
      <c r="E56" s="138"/>
      <c r="F56" s="138"/>
      <c r="G56" s="69">
        <v>56.698</v>
      </c>
      <c r="H56" s="35"/>
      <c r="I56" s="39"/>
    </row>
    <row r="57" spans="1:9" ht="12.25" customHeight="1" x14ac:dyDescent="0.3">
      <c r="A57" s="4"/>
      <c r="B57" s="13"/>
      <c r="C57" s="13"/>
      <c r="D57" s="67" t="s">
        <v>2504</v>
      </c>
      <c r="E57" s="138"/>
      <c r="F57" s="138"/>
      <c r="G57" s="69">
        <v>7.7614999999999998</v>
      </c>
      <c r="H57" s="35"/>
      <c r="I57" s="39"/>
    </row>
    <row r="58" spans="1:9" x14ac:dyDescent="0.3">
      <c r="A58" s="4" t="s">
        <v>48</v>
      </c>
      <c r="B58" s="13"/>
      <c r="C58" s="13" t="s">
        <v>1049</v>
      </c>
      <c r="D58" s="101" t="s">
        <v>1672</v>
      </c>
      <c r="E58" s="102"/>
      <c r="F58" s="13" t="s">
        <v>2387</v>
      </c>
      <c r="G58" s="21">
        <v>216.09530000000001</v>
      </c>
      <c r="H58" s="72">
        <v>0</v>
      </c>
      <c r="I58" s="39"/>
    </row>
    <row r="59" spans="1:9" ht="12.25" customHeight="1" x14ac:dyDescent="0.3">
      <c r="A59" s="4"/>
      <c r="B59" s="13"/>
      <c r="C59" s="13"/>
      <c r="D59" s="67" t="s">
        <v>2505</v>
      </c>
      <c r="E59" s="138"/>
      <c r="F59" s="138"/>
      <c r="G59" s="69">
        <v>24.981999999999999</v>
      </c>
      <c r="H59" s="35"/>
      <c r="I59" s="39"/>
    </row>
    <row r="60" spans="1:9" ht="12.25" customHeight="1" x14ac:dyDescent="0.3">
      <c r="A60" s="4"/>
      <c r="B60" s="13"/>
      <c r="C60" s="13"/>
      <c r="D60" s="67" t="s">
        <v>2506</v>
      </c>
      <c r="E60" s="138"/>
      <c r="F60" s="138"/>
      <c r="G60" s="69">
        <v>43.626800000000003</v>
      </c>
      <c r="H60" s="35"/>
      <c r="I60" s="39"/>
    </row>
    <row r="61" spans="1:9" ht="12.25" customHeight="1" x14ac:dyDescent="0.3">
      <c r="A61" s="4"/>
      <c r="B61" s="13"/>
      <c r="C61" s="13"/>
      <c r="D61" s="67" t="s">
        <v>2507</v>
      </c>
      <c r="E61" s="138"/>
      <c r="F61" s="138"/>
      <c r="G61" s="69">
        <v>6.0147000000000004</v>
      </c>
      <c r="H61" s="35"/>
      <c r="I61" s="39"/>
    </row>
    <row r="62" spans="1:9" ht="12.25" customHeight="1" x14ac:dyDescent="0.3">
      <c r="A62" s="4"/>
      <c r="B62" s="13"/>
      <c r="C62" s="13"/>
      <c r="D62" s="67" t="s">
        <v>2508</v>
      </c>
      <c r="E62" s="138"/>
      <c r="F62" s="138"/>
      <c r="G62" s="69">
        <v>78.883499999999998</v>
      </c>
      <c r="H62" s="35"/>
      <c r="I62" s="39"/>
    </row>
    <row r="63" spans="1:9" ht="12.25" customHeight="1" x14ac:dyDescent="0.3">
      <c r="A63" s="4"/>
      <c r="B63" s="13"/>
      <c r="C63" s="13"/>
      <c r="D63" s="67" t="s">
        <v>2509</v>
      </c>
      <c r="E63" s="138"/>
      <c r="F63" s="138"/>
      <c r="G63" s="69">
        <v>-10.92</v>
      </c>
      <c r="H63" s="35"/>
      <c r="I63" s="39"/>
    </row>
    <row r="64" spans="1:9" ht="12.25" customHeight="1" x14ac:dyDescent="0.3">
      <c r="A64" s="4"/>
      <c r="B64" s="13"/>
      <c r="C64" s="13"/>
      <c r="D64" s="67" t="s">
        <v>2510</v>
      </c>
      <c r="E64" s="138"/>
      <c r="F64" s="138"/>
      <c r="G64" s="69">
        <v>74.413349999999994</v>
      </c>
      <c r="H64" s="35"/>
      <c r="I64" s="39"/>
    </row>
    <row r="65" spans="1:9" ht="12.25" customHeight="1" x14ac:dyDescent="0.3">
      <c r="A65" s="4"/>
      <c r="B65" s="13"/>
      <c r="C65" s="13"/>
      <c r="D65" s="67" t="s">
        <v>2511</v>
      </c>
      <c r="E65" s="138"/>
      <c r="F65" s="138"/>
      <c r="G65" s="69">
        <v>42.759300000000003</v>
      </c>
      <c r="H65" s="35"/>
      <c r="I65" s="39"/>
    </row>
    <row r="66" spans="1:9" ht="12.25" customHeight="1" x14ac:dyDescent="0.3">
      <c r="A66" s="4"/>
      <c r="B66" s="13"/>
      <c r="C66" s="13"/>
      <c r="D66" s="67" t="s">
        <v>2512</v>
      </c>
      <c r="E66" s="138"/>
      <c r="F66" s="138"/>
      <c r="G66" s="69">
        <v>-7.2380500000000003</v>
      </c>
      <c r="H66" s="35"/>
      <c r="I66" s="39"/>
    </row>
    <row r="67" spans="1:9" ht="12.25" customHeight="1" x14ac:dyDescent="0.3">
      <c r="A67" s="4"/>
      <c r="B67" s="13"/>
      <c r="C67" s="13"/>
      <c r="D67" s="67" t="s">
        <v>2513</v>
      </c>
      <c r="E67" s="138"/>
      <c r="F67" s="138"/>
      <c r="G67" s="69">
        <v>-3.3522500000000002</v>
      </c>
      <c r="H67" s="35"/>
      <c r="I67" s="39"/>
    </row>
    <row r="68" spans="1:9" ht="12.25" customHeight="1" x14ac:dyDescent="0.3">
      <c r="A68" s="4"/>
      <c r="B68" s="13"/>
      <c r="C68" s="13"/>
      <c r="D68" s="67" t="s">
        <v>2514</v>
      </c>
      <c r="E68" s="138"/>
      <c r="F68" s="138"/>
      <c r="G68" s="69">
        <v>-7.1893500000000001</v>
      </c>
      <c r="H68" s="35"/>
      <c r="I68" s="39"/>
    </row>
    <row r="69" spans="1:9" ht="12.25" customHeight="1" x14ac:dyDescent="0.3">
      <c r="A69" s="4"/>
      <c r="B69" s="13"/>
      <c r="C69" s="13"/>
      <c r="D69" s="67" t="s">
        <v>2515</v>
      </c>
      <c r="E69" s="138"/>
      <c r="F69" s="138"/>
      <c r="G69" s="69">
        <v>-5.5125000000000002</v>
      </c>
      <c r="H69" s="35"/>
      <c r="I69" s="39"/>
    </row>
    <row r="70" spans="1:9" ht="12.25" customHeight="1" x14ac:dyDescent="0.3">
      <c r="A70" s="4"/>
      <c r="B70" s="13"/>
      <c r="C70" s="13"/>
      <c r="D70" s="67" t="s">
        <v>2516</v>
      </c>
      <c r="E70" s="138"/>
      <c r="F70" s="138"/>
      <c r="G70" s="69">
        <v>-8.6024999999999991</v>
      </c>
      <c r="H70" s="35"/>
      <c r="I70" s="39"/>
    </row>
    <row r="71" spans="1:9" ht="12.25" customHeight="1" x14ac:dyDescent="0.3">
      <c r="A71" s="4"/>
      <c r="B71" s="13"/>
      <c r="C71" s="13"/>
      <c r="D71" s="67" t="s">
        <v>2517</v>
      </c>
      <c r="E71" s="138"/>
      <c r="F71" s="138"/>
      <c r="G71" s="69">
        <v>-11.7697</v>
      </c>
      <c r="H71" s="35"/>
      <c r="I71" s="39"/>
    </row>
    <row r="72" spans="1:9" x14ac:dyDescent="0.3">
      <c r="A72" s="4" t="s">
        <v>49</v>
      </c>
      <c r="B72" s="13"/>
      <c r="C72" s="13" t="s">
        <v>1050</v>
      </c>
      <c r="D72" s="101" t="s">
        <v>1673</v>
      </c>
      <c r="E72" s="102"/>
      <c r="F72" s="13" t="s">
        <v>2387</v>
      </c>
      <c r="G72" s="21">
        <v>41.251550000000002</v>
      </c>
      <c r="H72" s="72">
        <v>0</v>
      </c>
      <c r="I72" s="39"/>
    </row>
    <row r="73" spans="1:9" ht="12.25" customHeight="1" x14ac:dyDescent="0.3">
      <c r="A73" s="4"/>
      <c r="B73" s="13"/>
      <c r="C73" s="13"/>
      <c r="D73" s="67" t="s">
        <v>2518</v>
      </c>
      <c r="E73" s="138"/>
      <c r="F73" s="138"/>
      <c r="G73" s="69">
        <v>23.0318</v>
      </c>
      <c r="H73" s="35"/>
      <c r="I73" s="39"/>
    </row>
    <row r="74" spans="1:9" ht="12.25" customHeight="1" x14ac:dyDescent="0.3">
      <c r="A74" s="4"/>
      <c r="B74" s="13"/>
      <c r="C74" s="13"/>
      <c r="D74" s="67" t="s">
        <v>2519</v>
      </c>
      <c r="E74" s="138"/>
      <c r="F74" s="138"/>
      <c r="G74" s="69">
        <v>18.219750000000001</v>
      </c>
      <c r="H74" s="35"/>
      <c r="I74" s="39"/>
    </row>
    <row r="75" spans="1:9" x14ac:dyDescent="0.3">
      <c r="A75" s="4" t="s">
        <v>50</v>
      </c>
      <c r="B75" s="13"/>
      <c r="C75" s="13" t="s">
        <v>1051</v>
      </c>
      <c r="D75" s="101" t="s">
        <v>1674</v>
      </c>
      <c r="E75" s="102"/>
      <c r="F75" s="13" t="s">
        <v>2387</v>
      </c>
      <c r="G75" s="21">
        <v>24.979500000000002</v>
      </c>
      <c r="H75" s="72">
        <v>0</v>
      </c>
      <c r="I75" s="39"/>
    </row>
    <row r="76" spans="1:9" ht="12.25" customHeight="1" x14ac:dyDescent="0.3">
      <c r="A76" s="4"/>
      <c r="B76" s="13"/>
      <c r="C76" s="13"/>
      <c r="D76" s="67" t="s">
        <v>2520</v>
      </c>
      <c r="E76" s="138"/>
      <c r="F76" s="138"/>
      <c r="G76" s="69">
        <v>11.026</v>
      </c>
      <c r="H76" s="35"/>
      <c r="I76" s="39"/>
    </row>
    <row r="77" spans="1:9" ht="12.25" customHeight="1" x14ac:dyDescent="0.3">
      <c r="A77" s="4"/>
      <c r="B77" s="13"/>
      <c r="C77" s="13"/>
      <c r="D77" s="67" t="s">
        <v>2521</v>
      </c>
      <c r="E77" s="138"/>
      <c r="F77" s="138"/>
      <c r="G77" s="69">
        <v>13.9535</v>
      </c>
      <c r="H77" s="35"/>
      <c r="I77" s="39"/>
    </row>
    <row r="78" spans="1:9" x14ac:dyDescent="0.3">
      <c r="A78" s="4" t="s">
        <v>51</v>
      </c>
      <c r="B78" s="13"/>
      <c r="C78" s="13" t="s">
        <v>1052</v>
      </c>
      <c r="D78" s="101" t="s">
        <v>1675</v>
      </c>
      <c r="E78" s="102"/>
      <c r="F78" s="13" t="s">
        <v>2387</v>
      </c>
      <c r="G78" s="21">
        <v>15.9885</v>
      </c>
      <c r="H78" s="72">
        <v>0</v>
      </c>
      <c r="I78" s="39"/>
    </row>
    <row r="79" spans="1:9" ht="12.25" customHeight="1" x14ac:dyDescent="0.3">
      <c r="A79" s="4"/>
      <c r="B79" s="13"/>
      <c r="C79" s="13"/>
      <c r="D79" s="67" t="s">
        <v>2522</v>
      </c>
      <c r="E79" s="138"/>
      <c r="F79" s="138"/>
      <c r="G79" s="69">
        <v>4.5525000000000002</v>
      </c>
      <c r="H79" s="35"/>
      <c r="I79" s="39"/>
    </row>
    <row r="80" spans="1:9" ht="12.25" customHeight="1" x14ac:dyDescent="0.3">
      <c r="A80" s="4"/>
      <c r="B80" s="13"/>
      <c r="C80" s="13"/>
      <c r="D80" s="67" t="s">
        <v>2523</v>
      </c>
      <c r="E80" s="138"/>
      <c r="F80" s="138"/>
      <c r="G80" s="69">
        <v>4.1505000000000001</v>
      </c>
      <c r="H80" s="35"/>
      <c r="I80" s="39"/>
    </row>
    <row r="81" spans="1:9" ht="12.25" customHeight="1" x14ac:dyDescent="0.3">
      <c r="A81" s="4"/>
      <c r="B81" s="13"/>
      <c r="C81" s="13"/>
      <c r="D81" s="67" t="s">
        <v>2524</v>
      </c>
      <c r="E81" s="138"/>
      <c r="F81" s="138"/>
      <c r="G81" s="69">
        <v>1.827</v>
      </c>
      <c r="H81" s="35"/>
      <c r="I81" s="39"/>
    </row>
    <row r="82" spans="1:9" ht="12.25" customHeight="1" x14ac:dyDescent="0.3">
      <c r="A82" s="4"/>
      <c r="B82" s="13"/>
      <c r="C82" s="13"/>
      <c r="D82" s="67" t="s">
        <v>2525</v>
      </c>
      <c r="E82" s="138"/>
      <c r="F82" s="138"/>
      <c r="G82" s="69">
        <v>4.7130000000000001</v>
      </c>
      <c r="H82" s="35"/>
      <c r="I82" s="39"/>
    </row>
    <row r="83" spans="1:9" ht="12.25" customHeight="1" x14ac:dyDescent="0.3">
      <c r="A83" s="4"/>
      <c r="B83" s="13"/>
      <c r="C83" s="13"/>
      <c r="D83" s="67" t="s">
        <v>2526</v>
      </c>
      <c r="E83" s="138"/>
      <c r="F83" s="138"/>
      <c r="G83" s="69">
        <v>0.74550000000000005</v>
      </c>
      <c r="H83" s="35"/>
      <c r="I83" s="39"/>
    </row>
    <row r="84" spans="1:9" x14ac:dyDescent="0.3">
      <c r="A84" s="4" t="s">
        <v>52</v>
      </c>
      <c r="B84" s="13"/>
      <c r="C84" s="13" t="s">
        <v>1053</v>
      </c>
      <c r="D84" s="101" t="s">
        <v>1676</v>
      </c>
      <c r="E84" s="102"/>
      <c r="F84" s="13" t="s">
        <v>2387</v>
      </c>
      <c r="G84" s="21">
        <v>5.7606000000000002</v>
      </c>
      <c r="H84" s="72">
        <v>0</v>
      </c>
      <c r="I84" s="39"/>
    </row>
    <row r="85" spans="1:9" ht="12.25" customHeight="1" x14ac:dyDescent="0.3">
      <c r="A85" s="4"/>
      <c r="B85" s="13"/>
      <c r="C85" s="13"/>
      <c r="D85" s="67" t="s">
        <v>2527</v>
      </c>
      <c r="E85" s="138"/>
      <c r="F85" s="138"/>
      <c r="G85" s="69">
        <v>0.95699999999999996</v>
      </c>
      <c r="H85" s="35"/>
      <c r="I85" s="39"/>
    </row>
    <row r="86" spans="1:9" ht="12.25" customHeight="1" x14ac:dyDescent="0.3">
      <c r="A86" s="4"/>
      <c r="B86" s="13"/>
      <c r="C86" s="13"/>
      <c r="D86" s="67" t="s">
        <v>2528</v>
      </c>
      <c r="E86" s="138"/>
      <c r="F86" s="138"/>
      <c r="G86" s="69">
        <v>2.0310000000000001</v>
      </c>
      <c r="H86" s="35"/>
      <c r="I86" s="39"/>
    </row>
    <row r="87" spans="1:9" ht="12.25" customHeight="1" x14ac:dyDescent="0.3">
      <c r="A87" s="4"/>
      <c r="B87" s="13"/>
      <c r="C87" s="13"/>
      <c r="D87" s="67" t="s">
        <v>2529</v>
      </c>
      <c r="E87" s="138"/>
      <c r="F87" s="138"/>
      <c r="G87" s="69">
        <v>0.85185</v>
      </c>
      <c r="H87" s="35"/>
      <c r="I87" s="39"/>
    </row>
    <row r="88" spans="1:9" ht="12.25" customHeight="1" x14ac:dyDescent="0.3">
      <c r="A88" s="4"/>
      <c r="B88" s="13"/>
      <c r="C88" s="13"/>
      <c r="D88" s="67" t="s">
        <v>2530</v>
      </c>
      <c r="E88" s="138"/>
      <c r="F88" s="138"/>
      <c r="G88" s="69">
        <v>1.5285</v>
      </c>
      <c r="H88" s="35"/>
      <c r="I88" s="39"/>
    </row>
    <row r="89" spans="1:9" ht="12.25" customHeight="1" x14ac:dyDescent="0.3">
      <c r="A89" s="4"/>
      <c r="B89" s="13"/>
      <c r="C89" s="13"/>
      <c r="D89" s="67" t="s">
        <v>2531</v>
      </c>
      <c r="E89" s="138"/>
      <c r="F89" s="138"/>
      <c r="G89" s="69">
        <v>0.39224999999999999</v>
      </c>
      <c r="H89" s="35"/>
      <c r="I89" s="39"/>
    </row>
    <row r="90" spans="1:9" x14ac:dyDescent="0.3">
      <c r="A90" s="4" t="s">
        <v>53</v>
      </c>
      <c r="B90" s="13"/>
      <c r="C90" s="13" t="s">
        <v>1054</v>
      </c>
      <c r="D90" s="101" t="s">
        <v>1677</v>
      </c>
      <c r="E90" s="102"/>
      <c r="F90" s="13" t="s">
        <v>2387</v>
      </c>
      <c r="G90" s="21">
        <v>1.59375</v>
      </c>
      <c r="H90" s="72">
        <v>0</v>
      </c>
      <c r="I90" s="39"/>
    </row>
    <row r="91" spans="1:9" ht="12.25" customHeight="1" x14ac:dyDescent="0.3">
      <c r="A91" s="4"/>
      <c r="B91" s="13"/>
      <c r="C91" s="13"/>
      <c r="D91" s="67" t="s">
        <v>2532</v>
      </c>
      <c r="E91" s="138"/>
      <c r="F91" s="138"/>
      <c r="G91" s="69">
        <v>0.432</v>
      </c>
      <c r="H91" s="35"/>
      <c r="I91" s="39"/>
    </row>
    <row r="92" spans="1:9" ht="12.25" customHeight="1" x14ac:dyDescent="0.3">
      <c r="A92" s="4"/>
      <c r="B92" s="13"/>
      <c r="C92" s="13"/>
      <c r="D92" s="67" t="s">
        <v>2533</v>
      </c>
      <c r="E92" s="138"/>
      <c r="F92" s="138"/>
      <c r="G92" s="69">
        <v>0.67500000000000004</v>
      </c>
      <c r="H92" s="35"/>
      <c r="I92" s="39"/>
    </row>
    <row r="93" spans="1:9" ht="12.25" customHeight="1" x14ac:dyDescent="0.3">
      <c r="A93" s="4"/>
      <c r="B93" s="13"/>
      <c r="C93" s="13"/>
      <c r="D93" s="67" t="s">
        <v>2534</v>
      </c>
      <c r="E93" s="138"/>
      <c r="F93" s="138"/>
      <c r="G93" s="69">
        <v>0.48675000000000002</v>
      </c>
      <c r="H93" s="35"/>
      <c r="I93" s="39"/>
    </row>
    <row r="94" spans="1:9" x14ac:dyDescent="0.3">
      <c r="A94" s="4" t="s">
        <v>54</v>
      </c>
      <c r="B94" s="13"/>
      <c r="C94" s="13" t="s">
        <v>1055</v>
      </c>
      <c r="D94" s="101" t="s">
        <v>1678</v>
      </c>
      <c r="E94" s="102"/>
      <c r="F94" s="13" t="s">
        <v>2387</v>
      </c>
      <c r="G94" s="21">
        <v>109.25295</v>
      </c>
      <c r="H94" s="72">
        <v>0</v>
      </c>
      <c r="I94" s="39"/>
    </row>
    <row r="95" spans="1:9" ht="12.25" customHeight="1" x14ac:dyDescent="0.3">
      <c r="A95" s="4"/>
      <c r="B95" s="13"/>
      <c r="C95" s="13"/>
      <c r="D95" s="67" t="s">
        <v>2535</v>
      </c>
      <c r="E95" s="138"/>
      <c r="F95" s="138"/>
      <c r="G95" s="69">
        <v>19.706700000000001</v>
      </c>
      <c r="H95" s="35"/>
      <c r="I95" s="39"/>
    </row>
    <row r="96" spans="1:9" ht="12.25" customHeight="1" x14ac:dyDescent="0.3">
      <c r="A96" s="4"/>
      <c r="B96" s="13"/>
      <c r="C96" s="13"/>
      <c r="D96" s="67" t="s">
        <v>2536</v>
      </c>
      <c r="E96" s="138"/>
      <c r="F96" s="138"/>
      <c r="G96" s="69">
        <v>20.678999999999998</v>
      </c>
      <c r="H96" s="35"/>
      <c r="I96" s="39"/>
    </row>
    <row r="97" spans="1:9" ht="12.25" customHeight="1" x14ac:dyDescent="0.3">
      <c r="A97" s="4"/>
      <c r="B97" s="13"/>
      <c r="C97" s="13"/>
      <c r="D97" s="67" t="s">
        <v>2537</v>
      </c>
      <c r="E97" s="138"/>
      <c r="F97" s="138"/>
      <c r="G97" s="69">
        <v>37.388500000000001</v>
      </c>
      <c r="H97" s="35"/>
      <c r="I97" s="39"/>
    </row>
    <row r="98" spans="1:9" ht="12.25" customHeight="1" x14ac:dyDescent="0.3">
      <c r="A98" s="4"/>
      <c r="B98" s="13"/>
      <c r="C98" s="13"/>
      <c r="D98" s="67" t="s">
        <v>2538</v>
      </c>
      <c r="E98" s="138"/>
      <c r="F98" s="138"/>
      <c r="G98" s="69">
        <v>68.026200000000003</v>
      </c>
      <c r="H98" s="35"/>
      <c r="I98" s="39"/>
    </row>
    <row r="99" spans="1:9" ht="12.25" customHeight="1" x14ac:dyDescent="0.3">
      <c r="A99" s="4"/>
      <c r="B99" s="13"/>
      <c r="C99" s="13"/>
      <c r="D99" s="67" t="s">
        <v>2539</v>
      </c>
      <c r="E99" s="138"/>
      <c r="F99" s="138"/>
      <c r="G99" s="69">
        <v>-15.74255</v>
      </c>
      <c r="H99" s="35"/>
      <c r="I99" s="39"/>
    </row>
    <row r="100" spans="1:9" ht="12.25" customHeight="1" x14ac:dyDescent="0.3">
      <c r="A100" s="4"/>
      <c r="B100" s="13"/>
      <c r="C100" s="13"/>
      <c r="D100" s="67" t="s">
        <v>2540</v>
      </c>
      <c r="E100" s="138"/>
      <c r="F100" s="138"/>
      <c r="G100" s="69">
        <v>-18.299900000000001</v>
      </c>
      <c r="H100" s="35"/>
      <c r="I100" s="39"/>
    </row>
    <row r="101" spans="1:9" ht="12.25" customHeight="1" x14ac:dyDescent="0.3">
      <c r="A101" s="4"/>
      <c r="B101" s="13"/>
      <c r="C101" s="13"/>
      <c r="D101" s="67" t="s">
        <v>2541</v>
      </c>
      <c r="E101" s="138"/>
      <c r="F101" s="138"/>
      <c r="G101" s="69">
        <v>-2.5049999999999999</v>
      </c>
      <c r="H101" s="35"/>
      <c r="I101" s="39"/>
    </row>
    <row r="102" spans="1:9" x14ac:dyDescent="0.3">
      <c r="A102" s="4" t="s">
        <v>55</v>
      </c>
      <c r="B102" s="13"/>
      <c r="C102" s="13" t="s">
        <v>1056</v>
      </c>
      <c r="D102" s="101" t="s">
        <v>1679</v>
      </c>
      <c r="E102" s="102"/>
      <c r="F102" s="13" t="s">
        <v>2387</v>
      </c>
      <c r="G102" s="21">
        <v>58.464550000000003</v>
      </c>
      <c r="H102" s="72">
        <v>0</v>
      </c>
      <c r="I102" s="39"/>
    </row>
    <row r="103" spans="1:9" ht="12.25" customHeight="1" x14ac:dyDescent="0.3">
      <c r="A103" s="4"/>
      <c r="B103" s="13"/>
      <c r="C103" s="13"/>
      <c r="D103" s="67" t="s">
        <v>2542</v>
      </c>
      <c r="E103" s="138"/>
      <c r="F103" s="138"/>
      <c r="G103" s="69">
        <v>17.28</v>
      </c>
      <c r="H103" s="35"/>
      <c r="I103" s="39"/>
    </row>
    <row r="104" spans="1:9" ht="12.25" customHeight="1" x14ac:dyDescent="0.3">
      <c r="A104" s="4"/>
      <c r="B104" s="13"/>
      <c r="C104" s="13"/>
      <c r="D104" s="67" t="s">
        <v>2543</v>
      </c>
      <c r="E104" s="138"/>
      <c r="F104" s="138"/>
      <c r="G104" s="69">
        <v>22.6005</v>
      </c>
      <c r="H104" s="35"/>
      <c r="I104" s="39"/>
    </row>
    <row r="105" spans="1:9" ht="12.25" customHeight="1" x14ac:dyDescent="0.3">
      <c r="A105" s="4"/>
      <c r="B105" s="13"/>
      <c r="C105" s="13"/>
      <c r="D105" s="67" t="s">
        <v>2544</v>
      </c>
      <c r="E105" s="138"/>
      <c r="F105" s="138"/>
      <c r="G105" s="69">
        <v>32.078000000000003</v>
      </c>
      <c r="H105" s="35"/>
      <c r="I105" s="39"/>
    </row>
    <row r="106" spans="1:9" ht="12.25" customHeight="1" x14ac:dyDescent="0.3">
      <c r="A106" s="4"/>
      <c r="B106" s="13"/>
      <c r="C106" s="13"/>
      <c r="D106" s="67" t="s">
        <v>2545</v>
      </c>
      <c r="E106" s="138"/>
      <c r="F106" s="138"/>
      <c r="G106" s="69">
        <v>10.89</v>
      </c>
      <c r="H106" s="35"/>
      <c r="I106" s="39"/>
    </row>
    <row r="107" spans="1:9" ht="12.25" customHeight="1" x14ac:dyDescent="0.3">
      <c r="A107" s="4"/>
      <c r="B107" s="13"/>
      <c r="C107" s="13"/>
      <c r="D107" s="67" t="s">
        <v>2546</v>
      </c>
      <c r="E107" s="138"/>
      <c r="F107" s="138"/>
      <c r="G107" s="69">
        <v>-10.08995</v>
      </c>
      <c r="H107" s="35"/>
      <c r="I107" s="39"/>
    </row>
    <row r="108" spans="1:9" ht="12.25" customHeight="1" x14ac:dyDescent="0.3">
      <c r="A108" s="4"/>
      <c r="B108" s="13"/>
      <c r="C108" s="13"/>
      <c r="D108" s="67" t="s">
        <v>2547</v>
      </c>
      <c r="E108" s="138"/>
      <c r="F108" s="138"/>
      <c r="G108" s="69">
        <v>-14.294</v>
      </c>
      <c r="H108" s="35"/>
      <c r="I108" s="39"/>
    </row>
    <row r="109" spans="1:9" x14ac:dyDescent="0.3">
      <c r="A109" s="4" t="s">
        <v>56</v>
      </c>
      <c r="B109" s="13"/>
      <c r="C109" s="13" t="s">
        <v>1057</v>
      </c>
      <c r="D109" s="101" t="s">
        <v>1680</v>
      </c>
      <c r="E109" s="102"/>
      <c r="F109" s="13" t="s">
        <v>2387</v>
      </c>
      <c r="G109" s="21">
        <v>21.118200000000002</v>
      </c>
      <c r="H109" s="72">
        <v>0</v>
      </c>
      <c r="I109" s="39"/>
    </row>
    <row r="110" spans="1:9" ht="12.25" customHeight="1" x14ac:dyDescent="0.3">
      <c r="A110" s="4"/>
      <c r="B110" s="13"/>
      <c r="C110" s="13"/>
      <c r="D110" s="67" t="s">
        <v>2548</v>
      </c>
      <c r="E110" s="138"/>
      <c r="F110" s="138"/>
      <c r="G110" s="69">
        <v>21.118200000000002</v>
      </c>
      <c r="H110" s="35"/>
      <c r="I110" s="39"/>
    </row>
    <row r="111" spans="1:9" x14ac:dyDescent="0.3">
      <c r="A111" s="4" t="s">
        <v>57</v>
      </c>
      <c r="B111" s="13"/>
      <c r="C111" s="13" t="s">
        <v>1058</v>
      </c>
      <c r="D111" s="101" t="s">
        <v>1681</v>
      </c>
      <c r="E111" s="102"/>
      <c r="F111" s="13" t="s">
        <v>2387</v>
      </c>
      <c r="G111" s="21">
        <v>19.65645</v>
      </c>
      <c r="H111" s="72">
        <v>0</v>
      </c>
      <c r="I111" s="39"/>
    </row>
    <row r="112" spans="1:9" ht="12.25" customHeight="1" x14ac:dyDescent="0.3">
      <c r="A112" s="4"/>
      <c r="B112" s="13"/>
      <c r="C112" s="13"/>
      <c r="D112" s="67" t="s">
        <v>2549</v>
      </c>
      <c r="E112" s="138"/>
      <c r="F112" s="138"/>
      <c r="G112" s="69">
        <v>19.65645</v>
      </c>
      <c r="H112" s="35"/>
      <c r="I112" s="39"/>
    </row>
    <row r="113" spans="1:9" x14ac:dyDescent="0.3">
      <c r="A113" s="4" t="s">
        <v>58</v>
      </c>
      <c r="B113" s="13"/>
      <c r="C113" s="13" t="s">
        <v>1059</v>
      </c>
      <c r="D113" s="101" t="s">
        <v>1682</v>
      </c>
      <c r="E113" s="102"/>
      <c r="F113" s="13" t="s">
        <v>2387</v>
      </c>
      <c r="G113" s="21">
        <v>339.31704999999999</v>
      </c>
      <c r="H113" s="72">
        <v>0</v>
      </c>
      <c r="I113" s="39"/>
    </row>
    <row r="114" spans="1:9" ht="12.25" customHeight="1" x14ac:dyDescent="0.3">
      <c r="A114" s="4"/>
      <c r="B114" s="13"/>
      <c r="C114" s="13"/>
      <c r="D114" s="67" t="s">
        <v>2550</v>
      </c>
      <c r="E114" s="138"/>
      <c r="F114" s="138"/>
      <c r="G114" s="69">
        <v>131.40055000000001</v>
      </c>
      <c r="H114" s="35"/>
      <c r="I114" s="39"/>
    </row>
    <row r="115" spans="1:9" ht="12.25" customHeight="1" x14ac:dyDescent="0.3">
      <c r="A115" s="4"/>
      <c r="B115" s="13"/>
      <c r="C115" s="13"/>
      <c r="D115" s="67" t="s">
        <v>2551</v>
      </c>
      <c r="E115" s="138"/>
      <c r="F115" s="138"/>
      <c r="G115" s="69">
        <v>91.08</v>
      </c>
      <c r="H115" s="35"/>
      <c r="I115" s="39"/>
    </row>
    <row r="116" spans="1:9" ht="12.25" customHeight="1" x14ac:dyDescent="0.3">
      <c r="A116" s="4"/>
      <c r="B116" s="13"/>
      <c r="C116" s="13"/>
      <c r="D116" s="67" t="s">
        <v>2552</v>
      </c>
      <c r="E116" s="138"/>
      <c r="F116" s="138"/>
      <c r="G116" s="69">
        <v>116.8365</v>
      </c>
      <c r="H116" s="35"/>
      <c r="I116" s="39"/>
    </row>
    <row r="117" spans="1:9" x14ac:dyDescent="0.3">
      <c r="A117" s="4" t="s">
        <v>59</v>
      </c>
      <c r="B117" s="13"/>
      <c r="C117" s="13" t="s">
        <v>1060</v>
      </c>
      <c r="D117" s="101" t="s">
        <v>1683</v>
      </c>
      <c r="E117" s="102"/>
      <c r="F117" s="13" t="s">
        <v>2387</v>
      </c>
      <c r="G117" s="21">
        <v>211.12844999999999</v>
      </c>
      <c r="H117" s="72">
        <v>0</v>
      </c>
      <c r="I117" s="39"/>
    </row>
    <row r="118" spans="1:9" ht="12.25" customHeight="1" x14ac:dyDescent="0.3">
      <c r="A118" s="4"/>
      <c r="B118" s="13"/>
      <c r="C118" s="13"/>
      <c r="D118" s="67" t="s">
        <v>2553</v>
      </c>
      <c r="E118" s="138"/>
      <c r="F118" s="138"/>
      <c r="G118" s="69">
        <v>56.251950000000001</v>
      </c>
      <c r="H118" s="35"/>
      <c r="I118" s="39"/>
    </row>
    <row r="119" spans="1:9" ht="12.25" customHeight="1" x14ac:dyDescent="0.3">
      <c r="A119" s="4"/>
      <c r="B119" s="13"/>
      <c r="C119" s="13"/>
      <c r="D119" s="67" t="s">
        <v>2554</v>
      </c>
      <c r="E119" s="138"/>
      <c r="F119" s="138"/>
      <c r="G119" s="69">
        <v>70.2</v>
      </c>
      <c r="H119" s="35"/>
      <c r="I119" s="39"/>
    </row>
    <row r="120" spans="1:9" ht="12.25" customHeight="1" x14ac:dyDescent="0.3">
      <c r="A120" s="4"/>
      <c r="B120" s="13"/>
      <c r="C120" s="13"/>
      <c r="D120" s="67" t="s">
        <v>2555</v>
      </c>
      <c r="E120" s="138"/>
      <c r="F120" s="138"/>
      <c r="G120" s="69">
        <v>27.916499999999999</v>
      </c>
      <c r="H120" s="35"/>
      <c r="I120" s="39"/>
    </row>
    <row r="121" spans="1:9" ht="12.25" customHeight="1" x14ac:dyDescent="0.3">
      <c r="A121" s="4"/>
      <c r="B121" s="13"/>
      <c r="C121" s="13"/>
      <c r="D121" s="67" t="s">
        <v>2556</v>
      </c>
      <c r="E121" s="138"/>
      <c r="F121" s="138"/>
      <c r="G121" s="69">
        <v>56.76</v>
      </c>
      <c r="H121" s="35"/>
      <c r="I121" s="39"/>
    </row>
    <row r="122" spans="1:9" x14ac:dyDescent="0.3">
      <c r="A122" s="4" t="s">
        <v>60</v>
      </c>
      <c r="B122" s="13"/>
      <c r="C122" s="13" t="s">
        <v>1061</v>
      </c>
      <c r="D122" s="101" t="s">
        <v>1684</v>
      </c>
      <c r="E122" s="102"/>
      <c r="F122" s="13" t="s">
        <v>2387</v>
      </c>
      <c r="G122" s="21">
        <v>79.840599999999995</v>
      </c>
      <c r="H122" s="72">
        <v>0</v>
      </c>
      <c r="I122" s="39"/>
    </row>
    <row r="123" spans="1:9" ht="12.25" customHeight="1" x14ac:dyDescent="0.3">
      <c r="A123" s="4"/>
      <c r="B123" s="13"/>
      <c r="C123" s="13"/>
      <c r="D123" s="67" t="s">
        <v>2557</v>
      </c>
      <c r="E123" s="138"/>
      <c r="F123" s="138"/>
      <c r="G123" s="69">
        <v>28.730250000000002</v>
      </c>
      <c r="H123" s="35"/>
      <c r="I123" s="39"/>
    </row>
    <row r="124" spans="1:9" ht="12.25" customHeight="1" x14ac:dyDescent="0.3">
      <c r="A124" s="4"/>
      <c r="B124" s="13"/>
      <c r="C124" s="13"/>
      <c r="D124" s="67" t="s">
        <v>2558</v>
      </c>
      <c r="E124" s="138"/>
      <c r="F124" s="138"/>
      <c r="G124" s="69">
        <v>25.5579</v>
      </c>
      <c r="H124" s="35"/>
      <c r="I124" s="39"/>
    </row>
    <row r="125" spans="1:9" ht="12.25" customHeight="1" x14ac:dyDescent="0.3">
      <c r="A125" s="4"/>
      <c r="B125" s="13"/>
      <c r="C125" s="13"/>
      <c r="D125" s="67" t="s">
        <v>2559</v>
      </c>
      <c r="E125" s="138"/>
      <c r="F125" s="138"/>
      <c r="G125" s="69">
        <v>4.2252000000000001</v>
      </c>
      <c r="H125" s="35"/>
      <c r="I125" s="39"/>
    </row>
    <row r="126" spans="1:9" ht="12.25" customHeight="1" x14ac:dyDescent="0.3">
      <c r="A126" s="4"/>
      <c r="B126" s="13"/>
      <c r="C126" s="13"/>
      <c r="D126" s="67" t="s">
        <v>2560</v>
      </c>
      <c r="E126" s="138"/>
      <c r="F126" s="138"/>
      <c r="G126" s="69">
        <v>10.029249999999999</v>
      </c>
      <c r="H126" s="35"/>
      <c r="I126" s="39"/>
    </row>
    <row r="127" spans="1:9" ht="12.25" customHeight="1" x14ac:dyDescent="0.3">
      <c r="A127" s="4"/>
      <c r="B127" s="13"/>
      <c r="C127" s="13"/>
      <c r="D127" s="67" t="s">
        <v>2561</v>
      </c>
      <c r="E127" s="138"/>
      <c r="F127" s="138"/>
      <c r="G127" s="69">
        <v>11.298</v>
      </c>
      <c r="H127" s="35"/>
      <c r="I127" s="39"/>
    </row>
    <row r="128" spans="1:9" x14ac:dyDescent="0.3">
      <c r="A128" s="4" t="s">
        <v>61</v>
      </c>
      <c r="B128" s="13"/>
      <c r="C128" s="13" t="s">
        <v>1062</v>
      </c>
      <c r="D128" s="101" t="s">
        <v>1685</v>
      </c>
      <c r="E128" s="102"/>
      <c r="F128" s="13" t="s">
        <v>2387</v>
      </c>
      <c r="G128" s="21">
        <v>42.692599999999999</v>
      </c>
      <c r="H128" s="72">
        <v>0</v>
      </c>
      <c r="I128" s="39"/>
    </row>
    <row r="129" spans="1:9" ht="12.25" customHeight="1" x14ac:dyDescent="0.3">
      <c r="A129" s="4"/>
      <c r="B129" s="13"/>
      <c r="C129" s="13"/>
      <c r="D129" s="67" t="s">
        <v>2562</v>
      </c>
      <c r="E129" s="138"/>
      <c r="F129" s="138"/>
      <c r="G129" s="69">
        <v>24.764600000000002</v>
      </c>
      <c r="H129" s="35"/>
      <c r="I129" s="39"/>
    </row>
    <row r="130" spans="1:9" ht="12.25" customHeight="1" x14ac:dyDescent="0.3">
      <c r="A130" s="4"/>
      <c r="B130" s="13"/>
      <c r="C130" s="13"/>
      <c r="D130" s="67" t="s">
        <v>2563</v>
      </c>
      <c r="E130" s="138"/>
      <c r="F130" s="138"/>
      <c r="G130" s="69">
        <v>17.928000000000001</v>
      </c>
      <c r="H130" s="35"/>
      <c r="I130" s="39"/>
    </row>
    <row r="131" spans="1:9" x14ac:dyDescent="0.3">
      <c r="A131" s="4" t="s">
        <v>62</v>
      </c>
      <c r="B131" s="13"/>
      <c r="C131" s="13" t="s">
        <v>1063</v>
      </c>
      <c r="D131" s="101" t="s">
        <v>1686</v>
      </c>
      <c r="E131" s="102"/>
      <c r="F131" s="13" t="s">
        <v>2387</v>
      </c>
      <c r="G131" s="21">
        <v>104.76555999999999</v>
      </c>
      <c r="H131" s="72">
        <v>0</v>
      </c>
      <c r="I131" s="39"/>
    </row>
    <row r="132" spans="1:9" ht="12.25" customHeight="1" x14ac:dyDescent="0.3">
      <c r="A132" s="4"/>
      <c r="B132" s="13"/>
      <c r="C132" s="13"/>
      <c r="D132" s="67" t="s">
        <v>2564</v>
      </c>
      <c r="E132" s="138"/>
      <c r="F132" s="138"/>
      <c r="G132" s="69">
        <v>39.253999999999998</v>
      </c>
      <c r="H132" s="35"/>
      <c r="I132" s="39"/>
    </row>
    <row r="133" spans="1:9" ht="12.25" customHeight="1" x14ac:dyDescent="0.3">
      <c r="A133" s="4"/>
      <c r="B133" s="13"/>
      <c r="C133" s="13"/>
      <c r="D133" s="67" t="s">
        <v>2565</v>
      </c>
      <c r="E133" s="138"/>
      <c r="F133" s="138"/>
      <c r="G133" s="69">
        <v>28.578060000000001</v>
      </c>
      <c r="H133" s="35"/>
      <c r="I133" s="39"/>
    </row>
    <row r="134" spans="1:9" ht="12.25" customHeight="1" x14ac:dyDescent="0.3">
      <c r="A134" s="4"/>
      <c r="B134" s="13"/>
      <c r="C134" s="13"/>
      <c r="D134" s="67" t="s">
        <v>2566</v>
      </c>
      <c r="E134" s="138"/>
      <c r="F134" s="138"/>
      <c r="G134" s="69">
        <v>28.827000000000002</v>
      </c>
      <c r="H134" s="35"/>
      <c r="I134" s="39"/>
    </row>
    <row r="135" spans="1:9" ht="12.25" customHeight="1" x14ac:dyDescent="0.3">
      <c r="A135" s="4"/>
      <c r="B135" s="13"/>
      <c r="C135" s="13"/>
      <c r="D135" s="67" t="s">
        <v>2567</v>
      </c>
      <c r="E135" s="138"/>
      <c r="F135" s="138"/>
      <c r="G135" s="69">
        <v>8.1065000000000005</v>
      </c>
      <c r="H135" s="35"/>
      <c r="I135" s="39"/>
    </row>
    <row r="136" spans="1:9" x14ac:dyDescent="0.3">
      <c r="A136" s="4" t="s">
        <v>63</v>
      </c>
      <c r="B136" s="13"/>
      <c r="C136" s="13" t="s">
        <v>1064</v>
      </c>
      <c r="D136" s="101" t="s">
        <v>1687</v>
      </c>
      <c r="E136" s="102"/>
      <c r="F136" s="13" t="s">
        <v>2388</v>
      </c>
      <c r="G136" s="21">
        <v>672</v>
      </c>
      <c r="H136" s="72">
        <v>0</v>
      </c>
      <c r="I136" s="39"/>
    </row>
    <row r="137" spans="1:9" ht="12.25" customHeight="1" x14ac:dyDescent="0.3">
      <c r="A137" s="4"/>
      <c r="B137" s="13"/>
      <c r="C137" s="13"/>
      <c r="D137" s="67" t="s">
        <v>674</v>
      </c>
      <c r="E137" s="138"/>
      <c r="F137" s="138"/>
      <c r="G137" s="69">
        <v>672</v>
      </c>
      <c r="H137" s="35"/>
      <c r="I137" s="39"/>
    </row>
    <row r="138" spans="1:9" x14ac:dyDescent="0.3">
      <c r="A138" s="6" t="s">
        <v>64</v>
      </c>
      <c r="B138" s="15"/>
      <c r="C138" s="15" t="s">
        <v>1065</v>
      </c>
      <c r="D138" s="107" t="s">
        <v>1688</v>
      </c>
      <c r="E138" s="108"/>
      <c r="F138" s="15" t="s">
        <v>2389</v>
      </c>
      <c r="G138" s="22">
        <v>0.73823000000000005</v>
      </c>
      <c r="H138" s="73">
        <v>0</v>
      </c>
      <c r="I138" s="39"/>
    </row>
    <row r="139" spans="1:9" ht="12.25" customHeight="1" x14ac:dyDescent="0.3">
      <c r="A139" s="6"/>
      <c r="B139" s="15"/>
      <c r="C139" s="15"/>
      <c r="D139" s="67" t="s">
        <v>2568</v>
      </c>
      <c r="E139" s="138"/>
      <c r="F139" s="138"/>
      <c r="G139" s="70">
        <v>0.67112000000000005</v>
      </c>
      <c r="H139" s="37"/>
      <c r="I139" s="39"/>
    </row>
    <row r="140" spans="1:9" ht="12.25" customHeight="1" x14ac:dyDescent="0.3">
      <c r="A140" s="6"/>
      <c r="B140" s="15"/>
      <c r="C140" s="15"/>
      <c r="D140" s="67" t="s">
        <v>2569</v>
      </c>
      <c r="E140" s="138"/>
      <c r="F140" s="138"/>
      <c r="G140" s="70">
        <v>6.7110000000000003E-2</v>
      </c>
      <c r="H140" s="37"/>
      <c r="I140" s="39"/>
    </row>
    <row r="141" spans="1:9" x14ac:dyDescent="0.3">
      <c r="A141" s="66"/>
      <c r="B141" s="14"/>
      <c r="C141" s="14" t="s">
        <v>47</v>
      </c>
      <c r="D141" s="103" t="s">
        <v>1689</v>
      </c>
      <c r="E141" s="104"/>
      <c r="F141" s="14"/>
      <c r="G141" s="31"/>
      <c r="H141" s="36"/>
      <c r="I141" s="39"/>
    </row>
    <row r="142" spans="1:9" x14ac:dyDescent="0.3">
      <c r="A142" s="4" t="s">
        <v>65</v>
      </c>
      <c r="B142" s="13"/>
      <c r="C142" s="13" t="s">
        <v>1066</v>
      </c>
      <c r="D142" s="101" t="s">
        <v>1690</v>
      </c>
      <c r="E142" s="102"/>
      <c r="F142" s="13" t="s">
        <v>2387</v>
      </c>
      <c r="G142" s="21">
        <v>108.9</v>
      </c>
      <c r="H142" s="72">
        <v>0</v>
      </c>
      <c r="I142" s="39"/>
    </row>
    <row r="143" spans="1:9" ht="12.25" customHeight="1" x14ac:dyDescent="0.3">
      <c r="A143" s="4"/>
      <c r="B143" s="13"/>
      <c r="C143" s="13"/>
      <c r="D143" s="67" t="s">
        <v>2570</v>
      </c>
      <c r="E143" s="138"/>
      <c r="F143" s="138"/>
      <c r="G143" s="69">
        <v>32.49</v>
      </c>
      <c r="H143" s="35"/>
      <c r="I143" s="39"/>
    </row>
    <row r="144" spans="1:9" ht="12.25" customHeight="1" x14ac:dyDescent="0.3">
      <c r="A144" s="4"/>
      <c r="B144" s="13"/>
      <c r="C144" s="13"/>
      <c r="D144" s="67" t="s">
        <v>2571</v>
      </c>
      <c r="E144" s="138"/>
      <c r="F144" s="138"/>
      <c r="G144" s="69">
        <v>19.41</v>
      </c>
      <c r="H144" s="35"/>
      <c r="I144" s="39"/>
    </row>
    <row r="145" spans="1:9" ht="12.25" customHeight="1" x14ac:dyDescent="0.3">
      <c r="A145" s="4"/>
      <c r="B145" s="13"/>
      <c r="C145" s="13"/>
      <c r="D145" s="67" t="s">
        <v>2572</v>
      </c>
      <c r="E145" s="138"/>
      <c r="F145" s="138"/>
      <c r="G145" s="69">
        <v>21.93</v>
      </c>
      <c r="H145" s="35"/>
      <c r="I145" s="39"/>
    </row>
    <row r="146" spans="1:9" ht="12.25" customHeight="1" x14ac:dyDescent="0.3">
      <c r="A146" s="4"/>
      <c r="B146" s="13"/>
      <c r="C146" s="13"/>
      <c r="D146" s="67" t="s">
        <v>2573</v>
      </c>
      <c r="E146" s="138"/>
      <c r="F146" s="138"/>
      <c r="G146" s="69">
        <v>35.07</v>
      </c>
      <c r="H146" s="35"/>
      <c r="I146" s="39"/>
    </row>
    <row r="147" spans="1:9" x14ac:dyDescent="0.3">
      <c r="A147" s="66"/>
      <c r="B147" s="14"/>
      <c r="C147" s="14" t="s">
        <v>67</v>
      </c>
      <c r="D147" s="103" t="s">
        <v>1691</v>
      </c>
      <c r="E147" s="104"/>
      <c r="F147" s="14"/>
      <c r="G147" s="31"/>
      <c r="H147" s="36"/>
      <c r="I147" s="39"/>
    </row>
    <row r="148" spans="1:9" x14ac:dyDescent="0.3">
      <c r="A148" s="4" t="s">
        <v>66</v>
      </c>
      <c r="B148" s="13"/>
      <c r="C148" s="13" t="s">
        <v>1067</v>
      </c>
      <c r="D148" s="101" t="s">
        <v>1692</v>
      </c>
      <c r="E148" s="102"/>
      <c r="F148" s="13" t="s">
        <v>2387</v>
      </c>
      <c r="G148" s="21">
        <v>355</v>
      </c>
      <c r="H148" s="72">
        <v>0</v>
      </c>
      <c r="I148" s="39"/>
    </row>
    <row r="149" spans="1:9" ht="12.25" customHeight="1" x14ac:dyDescent="0.3">
      <c r="A149" s="4"/>
      <c r="B149" s="13"/>
      <c r="C149" s="13"/>
      <c r="D149" s="67" t="s">
        <v>61</v>
      </c>
      <c r="E149" s="138"/>
      <c r="F149" s="138"/>
      <c r="G149" s="69">
        <v>55</v>
      </c>
      <c r="H149" s="35"/>
      <c r="I149" s="39"/>
    </row>
    <row r="150" spans="1:9" ht="12.25" customHeight="1" x14ac:dyDescent="0.3">
      <c r="A150" s="4"/>
      <c r="B150" s="13"/>
      <c r="C150" s="13"/>
      <c r="D150" s="67" t="s">
        <v>2574</v>
      </c>
      <c r="E150" s="138"/>
      <c r="F150" s="138"/>
      <c r="G150" s="69">
        <v>300</v>
      </c>
      <c r="H150" s="35"/>
      <c r="I150" s="39"/>
    </row>
    <row r="151" spans="1:9" x14ac:dyDescent="0.3">
      <c r="A151" s="4" t="s">
        <v>67</v>
      </c>
      <c r="B151" s="13"/>
      <c r="C151" s="13" t="s">
        <v>1068</v>
      </c>
      <c r="D151" s="101" t="s">
        <v>1693</v>
      </c>
      <c r="E151" s="102"/>
      <c r="F151" s="13" t="s">
        <v>2387</v>
      </c>
      <c r="G151" s="21">
        <v>18.990500000000001</v>
      </c>
      <c r="H151" s="72">
        <v>0</v>
      </c>
      <c r="I151" s="39"/>
    </row>
    <row r="152" spans="1:9" ht="12.25" customHeight="1" x14ac:dyDescent="0.3">
      <c r="A152" s="4"/>
      <c r="B152" s="13"/>
      <c r="C152" s="13"/>
      <c r="D152" s="67" t="s">
        <v>2575</v>
      </c>
      <c r="E152" s="138"/>
      <c r="F152" s="138"/>
      <c r="G152" s="69">
        <v>18.990500000000001</v>
      </c>
      <c r="H152" s="35"/>
      <c r="I152" s="39"/>
    </row>
    <row r="153" spans="1:9" x14ac:dyDescent="0.3">
      <c r="A153" s="4" t="s">
        <v>68</v>
      </c>
      <c r="B153" s="13"/>
      <c r="C153" s="13" t="s">
        <v>1069</v>
      </c>
      <c r="D153" s="101" t="s">
        <v>1694</v>
      </c>
      <c r="E153" s="102"/>
      <c r="F153" s="13" t="s">
        <v>2387</v>
      </c>
      <c r="G153" s="21">
        <v>17.1905</v>
      </c>
      <c r="H153" s="72">
        <v>0</v>
      </c>
      <c r="I153" s="39"/>
    </row>
    <row r="154" spans="1:9" ht="12.25" customHeight="1" x14ac:dyDescent="0.3">
      <c r="A154" s="4"/>
      <c r="B154" s="13"/>
      <c r="C154" s="13"/>
      <c r="D154" s="67" t="s">
        <v>2576</v>
      </c>
      <c r="E154" s="138"/>
      <c r="F154" s="138"/>
      <c r="G154" s="69">
        <v>17.1905</v>
      </c>
      <c r="H154" s="35"/>
      <c r="I154" s="39"/>
    </row>
    <row r="155" spans="1:9" x14ac:dyDescent="0.3">
      <c r="A155" s="4" t="s">
        <v>69</v>
      </c>
      <c r="B155" s="13"/>
      <c r="C155" s="13" t="s">
        <v>1070</v>
      </c>
      <c r="D155" s="101" t="s">
        <v>1695</v>
      </c>
      <c r="E155" s="102"/>
      <c r="F155" s="13" t="s">
        <v>2386</v>
      </c>
      <c r="G155" s="21">
        <v>1</v>
      </c>
      <c r="H155" s="72">
        <v>0</v>
      </c>
      <c r="I155" s="39"/>
    </row>
    <row r="156" spans="1:9" x14ac:dyDescent="0.3">
      <c r="A156" s="4" t="s">
        <v>70</v>
      </c>
      <c r="B156" s="13"/>
      <c r="C156" s="13" t="s">
        <v>1071</v>
      </c>
      <c r="D156" s="101" t="s">
        <v>1696</v>
      </c>
      <c r="E156" s="102"/>
      <c r="F156" s="13" t="s">
        <v>2390</v>
      </c>
      <c r="G156" s="21">
        <v>1</v>
      </c>
      <c r="H156" s="72">
        <v>0</v>
      </c>
      <c r="I156" s="39"/>
    </row>
    <row r="157" spans="1:9" x14ac:dyDescent="0.3">
      <c r="A157" s="4" t="s">
        <v>71</v>
      </c>
      <c r="B157" s="13"/>
      <c r="C157" s="13" t="s">
        <v>1072</v>
      </c>
      <c r="D157" s="101" t="s">
        <v>1697</v>
      </c>
      <c r="E157" s="102"/>
      <c r="F157" s="13" t="s">
        <v>2387</v>
      </c>
      <c r="G157" s="21">
        <v>46.37</v>
      </c>
      <c r="H157" s="72">
        <v>0</v>
      </c>
      <c r="I157" s="39"/>
    </row>
    <row r="158" spans="1:9" ht="12.25" customHeight="1" x14ac:dyDescent="0.3">
      <c r="A158" s="4"/>
      <c r="B158" s="13"/>
      <c r="C158" s="13"/>
      <c r="D158" s="67" t="s">
        <v>2577</v>
      </c>
      <c r="E158" s="138"/>
      <c r="F158" s="138"/>
      <c r="G158" s="69">
        <v>46.37</v>
      </c>
      <c r="H158" s="35"/>
      <c r="I158" s="39"/>
    </row>
    <row r="159" spans="1:9" x14ac:dyDescent="0.3">
      <c r="A159" s="66"/>
      <c r="B159" s="14"/>
      <c r="C159" s="14" t="s">
        <v>715</v>
      </c>
      <c r="D159" s="103" t="s">
        <v>1698</v>
      </c>
      <c r="E159" s="104"/>
      <c r="F159" s="14"/>
      <c r="G159" s="31"/>
      <c r="H159" s="36"/>
      <c r="I159" s="39"/>
    </row>
    <row r="160" spans="1:9" x14ac:dyDescent="0.3">
      <c r="A160" s="4" t="s">
        <v>72</v>
      </c>
      <c r="B160" s="13"/>
      <c r="C160" s="13" t="s">
        <v>1073</v>
      </c>
      <c r="D160" s="101" t="s">
        <v>1699</v>
      </c>
      <c r="E160" s="102"/>
      <c r="F160" s="13" t="s">
        <v>2386</v>
      </c>
      <c r="G160" s="21">
        <v>1</v>
      </c>
      <c r="H160" s="72">
        <v>0</v>
      </c>
      <c r="I160" s="39"/>
    </row>
    <row r="161" spans="1:9" x14ac:dyDescent="0.3">
      <c r="A161" s="66"/>
      <c r="B161" s="14"/>
      <c r="C161" s="14" t="s">
        <v>716</v>
      </c>
      <c r="D161" s="103" t="s">
        <v>1700</v>
      </c>
      <c r="E161" s="104"/>
      <c r="F161" s="14"/>
      <c r="G161" s="31"/>
      <c r="H161" s="36"/>
      <c r="I161" s="39"/>
    </row>
    <row r="162" spans="1:9" x14ac:dyDescent="0.3">
      <c r="A162" s="4" t="s">
        <v>73</v>
      </c>
      <c r="B162" s="13"/>
      <c r="C162" s="13" t="s">
        <v>1074</v>
      </c>
      <c r="D162" s="101" t="s">
        <v>1701</v>
      </c>
      <c r="E162" s="102"/>
      <c r="F162" s="13" t="s">
        <v>2387</v>
      </c>
      <c r="G162" s="21">
        <v>189.2</v>
      </c>
      <c r="H162" s="72">
        <v>0</v>
      </c>
      <c r="I162" s="39"/>
    </row>
    <row r="163" spans="1:9" ht="12.25" customHeight="1" x14ac:dyDescent="0.3">
      <c r="A163" s="4"/>
      <c r="B163" s="13"/>
      <c r="C163" s="13"/>
      <c r="D163" s="67" t="s">
        <v>2578</v>
      </c>
      <c r="E163" s="138"/>
      <c r="F163" s="138"/>
      <c r="G163" s="69">
        <v>189.2</v>
      </c>
      <c r="H163" s="35"/>
      <c r="I163" s="39"/>
    </row>
    <row r="164" spans="1:9" x14ac:dyDescent="0.3">
      <c r="A164" s="4" t="s">
        <v>74</v>
      </c>
      <c r="B164" s="13"/>
      <c r="C164" s="13" t="s">
        <v>1075</v>
      </c>
      <c r="D164" s="101" t="s">
        <v>1702</v>
      </c>
      <c r="E164" s="102"/>
      <c r="F164" s="13" t="s">
        <v>2387</v>
      </c>
      <c r="G164" s="21">
        <v>82.3</v>
      </c>
      <c r="H164" s="72">
        <v>0</v>
      </c>
      <c r="I164" s="39"/>
    </row>
    <row r="165" spans="1:9" ht="12.25" customHeight="1" x14ac:dyDescent="0.3">
      <c r="A165" s="4"/>
      <c r="B165" s="13"/>
      <c r="C165" s="13"/>
      <c r="D165" s="67" t="s">
        <v>2579</v>
      </c>
      <c r="E165" s="138"/>
      <c r="F165" s="138"/>
      <c r="G165" s="69">
        <v>82.3</v>
      </c>
      <c r="H165" s="35"/>
      <c r="I165" s="39"/>
    </row>
    <row r="166" spans="1:9" x14ac:dyDescent="0.3">
      <c r="A166" s="4" t="s">
        <v>75</v>
      </c>
      <c r="B166" s="13"/>
      <c r="C166" s="13" t="s">
        <v>1076</v>
      </c>
      <c r="D166" s="101" t="s">
        <v>1703</v>
      </c>
      <c r="E166" s="102"/>
      <c r="F166" s="13" t="s">
        <v>2387</v>
      </c>
      <c r="G166" s="21">
        <v>67.5</v>
      </c>
      <c r="H166" s="72">
        <v>0</v>
      </c>
      <c r="I166" s="39"/>
    </row>
    <row r="167" spans="1:9" ht="12.25" customHeight="1" x14ac:dyDescent="0.3">
      <c r="A167" s="4"/>
      <c r="B167" s="13"/>
      <c r="C167" s="13"/>
      <c r="D167" s="67" t="s">
        <v>2580</v>
      </c>
      <c r="E167" s="138"/>
      <c r="F167" s="138"/>
      <c r="G167" s="69">
        <v>67.5</v>
      </c>
      <c r="H167" s="35"/>
      <c r="I167" s="39"/>
    </row>
    <row r="168" spans="1:9" x14ac:dyDescent="0.3">
      <c r="A168" s="4" t="s">
        <v>76</v>
      </c>
      <c r="B168" s="13"/>
      <c r="C168" s="13" t="s">
        <v>1077</v>
      </c>
      <c r="D168" s="101" t="s">
        <v>1704</v>
      </c>
      <c r="E168" s="102"/>
      <c r="F168" s="13" t="s">
        <v>2387</v>
      </c>
      <c r="G168" s="21">
        <v>39.4</v>
      </c>
      <c r="H168" s="72">
        <v>0</v>
      </c>
      <c r="I168" s="39"/>
    </row>
    <row r="169" spans="1:9" ht="12.25" customHeight="1" x14ac:dyDescent="0.3">
      <c r="A169" s="4"/>
      <c r="B169" s="13"/>
      <c r="C169" s="13"/>
      <c r="D169" s="67" t="s">
        <v>2581</v>
      </c>
      <c r="E169" s="138"/>
      <c r="F169" s="138"/>
      <c r="G169" s="69">
        <v>39.4</v>
      </c>
      <c r="H169" s="35"/>
      <c r="I169" s="39"/>
    </row>
    <row r="170" spans="1:9" x14ac:dyDescent="0.3">
      <c r="A170" s="4" t="s">
        <v>77</v>
      </c>
      <c r="B170" s="13"/>
      <c r="C170" s="13" t="s">
        <v>1078</v>
      </c>
      <c r="D170" s="101" t="s">
        <v>1705</v>
      </c>
      <c r="E170" s="102"/>
      <c r="F170" s="13" t="s">
        <v>2387</v>
      </c>
      <c r="G170" s="21">
        <v>45.8</v>
      </c>
      <c r="H170" s="72">
        <v>0</v>
      </c>
      <c r="I170" s="39"/>
    </row>
    <row r="171" spans="1:9" ht="12.25" customHeight="1" x14ac:dyDescent="0.3">
      <c r="A171" s="4"/>
      <c r="B171" s="13"/>
      <c r="C171" s="13"/>
      <c r="D171" s="67" t="s">
        <v>2582</v>
      </c>
      <c r="E171" s="138"/>
      <c r="F171" s="138"/>
      <c r="G171" s="69">
        <v>45.8</v>
      </c>
      <c r="H171" s="35"/>
      <c r="I171" s="39"/>
    </row>
    <row r="172" spans="1:9" x14ac:dyDescent="0.3">
      <c r="A172" s="4" t="s">
        <v>78</v>
      </c>
      <c r="B172" s="13"/>
      <c r="C172" s="13" t="s">
        <v>1079</v>
      </c>
      <c r="D172" s="101" t="s">
        <v>1706</v>
      </c>
      <c r="E172" s="102"/>
      <c r="F172" s="13" t="s">
        <v>2387</v>
      </c>
      <c r="G172" s="21">
        <v>53.8</v>
      </c>
      <c r="H172" s="72">
        <v>0</v>
      </c>
      <c r="I172" s="39"/>
    </row>
    <row r="173" spans="1:9" ht="12.25" customHeight="1" x14ac:dyDescent="0.3">
      <c r="A173" s="4"/>
      <c r="B173" s="13"/>
      <c r="C173" s="13"/>
      <c r="D173" s="67" t="s">
        <v>2583</v>
      </c>
      <c r="E173" s="138"/>
      <c r="F173" s="138"/>
      <c r="G173" s="69">
        <v>53.8</v>
      </c>
      <c r="H173" s="35"/>
      <c r="I173" s="39"/>
    </row>
    <row r="174" spans="1:9" x14ac:dyDescent="0.3">
      <c r="A174" s="4" t="s">
        <v>79</v>
      </c>
      <c r="B174" s="13"/>
      <c r="C174" s="13" t="s">
        <v>1076</v>
      </c>
      <c r="D174" s="101" t="s">
        <v>1707</v>
      </c>
      <c r="E174" s="102"/>
      <c r="F174" s="13" t="s">
        <v>2387</v>
      </c>
      <c r="G174" s="21">
        <v>86.3</v>
      </c>
      <c r="H174" s="72">
        <v>0</v>
      </c>
      <c r="I174" s="39"/>
    </row>
    <row r="175" spans="1:9" ht="12.25" customHeight="1" x14ac:dyDescent="0.3">
      <c r="A175" s="4"/>
      <c r="B175" s="13"/>
      <c r="C175" s="13"/>
      <c r="D175" s="67" t="s">
        <v>2584</v>
      </c>
      <c r="E175" s="138"/>
      <c r="F175" s="138"/>
      <c r="G175" s="69">
        <v>86.3</v>
      </c>
      <c r="H175" s="35"/>
      <c r="I175" s="39"/>
    </row>
    <row r="176" spans="1:9" x14ac:dyDescent="0.3">
      <c r="A176" s="4" t="s">
        <v>80</v>
      </c>
      <c r="B176" s="13"/>
      <c r="C176" s="13" t="s">
        <v>1080</v>
      </c>
      <c r="D176" s="101" t="s">
        <v>1708</v>
      </c>
      <c r="E176" s="102"/>
      <c r="F176" s="13" t="s">
        <v>2387</v>
      </c>
      <c r="G176" s="21">
        <v>84.8</v>
      </c>
      <c r="H176" s="72">
        <v>0</v>
      </c>
      <c r="I176" s="39"/>
    </row>
    <row r="177" spans="1:9" ht="12.25" customHeight="1" x14ac:dyDescent="0.3">
      <c r="A177" s="4"/>
      <c r="B177" s="13"/>
      <c r="C177" s="13"/>
      <c r="D177" s="67" t="s">
        <v>2585</v>
      </c>
      <c r="E177" s="138"/>
      <c r="F177" s="138"/>
      <c r="G177" s="69">
        <v>84.8</v>
      </c>
      <c r="H177" s="35"/>
      <c r="I177" s="39"/>
    </row>
    <row r="178" spans="1:9" x14ac:dyDescent="0.3">
      <c r="A178" s="4" t="s">
        <v>81</v>
      </c>
      <c r="B178" s="13"/>
      <c r="C178" s="13" t="s">
        <v>1081</v>
      </c>
      <c r="D178" s="101" t="s">
        <v>1709</v>
      </c>
      <c r="E178" s="102"/>
      <c r="F178" s="13" t="s">
        <v>2384</v>
      </c>
      <c r="G178" s="21">
        <v>22</v>
      </c>
      <c r="H178" s="72">
        <v>0</v>
      </c>
      <c r="I178" s="39"/>
    </row>
    <row r="179" spans="1:9" ht="12.25" customHeight="1" x14ac:dyDescent="0.3">
      <c r="A179" s="4"/>
      <c r="B179" s="13"/>
      <c r="C179" s="13"/>
      <c r="D179" s="67" t="s">
        <v>28</v>
      </c>
      <c r="E179" s="138"/>
      <c r="F179" s="138"/>
      <c r="G179" s="69">
        <v>22</v>
      </c>
      <c r="H179" s="35"/>
      <c r="I179" s="39"/>
    </row>
    <row r="180" spans="1:9" x14ac:dyDescent="0.3">
      <c r="A180" s="4" t="s">
        <v>82</v>
      </c>
      <c r="B180" s="13"/>
      <c r="C180" s="13" t="s">
        <v>1082</v>
      </c>
      <c r="D180" s="101" t="s">
        <v>1710</v>
      </c>
      <c r="E180" s="102"/>
      <c r="F180" s="13" t="s">
        <v>2384</v>
      </c>
      <c r="G180" s="21">
        <v>37</v>
      </c>
      <c r="H180" s="72">
        <v>0</v>
      </c>
      <c r="I180" s="39"/>
    </row>
    <row r="181" spans="1:9" ht="12.25" customHeight="1" x14ac:dyDescent="0.3">
      <c r="A181" s="4"/>
      <c r="B181" s="13"/>
      <c r="C181" s="13"/>
      <c r="D181" s="67" t="s">
        <v>43</v>
      </c>
      <c r="E181" s="138"/>
      <c r="F181" s="138"/>
      <c r="G181" s="69">
        <v>37</v>
      </c>
      <c r="H181" s="35"/>
      <c r="I181" s="39"/>
    </row>
    <row r="182" spans="1:9" x14ac:dyDescent="0.3">
      <c r="A182" s="4" t="s">
        <v>83</v>
      </c>
      <c r="B182" s="13"/>
      <c r="C182" s="13" t="s">
        <v>1083</v>
      </c>
      <c r="D182" s="101" t="s">
        <v>1711</v>
      </c>
      <c r="E182" s="102"/>
      <c r="F182" s="13" t="s">
        <v>2390</v>
      </c>
      <c r="G182" s="21">
        <v>1</v>
      </c>
      <c r="H182" s="72">
        <v>0</v>
      </c>
      <c r="I182" s="39"/>
    </row>
    <row r="183" spans="1:9" ht="12.25" customHeight="1" x14ac:dyDescent="0.3">
      <c r="A183" s="4"/>
      <c r="B183" s="13"/>
      <c r="C183" s="13"/>
      <c r="D183" s="67" t="s">
        <v>7</v>
      </c>
      <c r="E183" s="138"/>
      <c r="F183" s="138"/>
      <c r="G183" s="69">
        <v>1</v>
      </c>
      <c r="H183" s="35"/>
      <c r="I183" s="39"/>
    </row>
    <row r="184" spans="1:9" x14ac:dyDescent="0.3">
      <c r="A184" s="4" t="s">
        <v>84</v>
      </c>
      <c r="B184" s="13"/>
      <c r="C184" s="13" t="s">
        <v>1084</v>
      </c>
      <c r="D184" s="101" t="s">
        <v>1712</v>
      </c>
      <c r="E184" s="102"/>
      <c r="F184" s="13" t="s">
        <v>2387</v>
      </c>
      <c r="G184" s="21">
        <v>58.533000000000001</v>
      </c>
      <c r="H184" s="72">
        <v>0</v>
      </c>
      <c r="I184" s="39"/>
    </row>
    <row r="185" spans="1:9" ht="12.25" customHeight="1" x14ac:dyDescent="0.3">
      <c r="A185" s="4"/>
      <c r="B185" s="13"/>
      <c r="C185" s="13"/>
      <c r="D185" s="67" t="s">
        <v>2586</v>
      </c>
      <c r="E185" s="138"/>
      <c r="F185" s="138"/>
      <c r="G185" s="69">
        <v>3.9510000000000001</v>
      </c>
      <c r="H185" s="35"/>
      <c r="I185" s="39"/>
    </row>
    <row r="186" spans="1:9" ht="12.25" customHeight="1" x14ac:dyDescent="0.3">
      <c r="A186" s="4"/>
      <c r="B186" s="13"/>
      <c r="C186" s="13"/>
      <c r="D186" s="67" t="s">
        <v>2587</v>
      </c>
      <c r="E186" s="138"/>
      <c r="F186" s="138"/>
      <c r="G186" s="69">
        <v>17.123999999999999</v>
      </c>
      <c r="H186" s="35"/>
      <c r="I186" s="39"/>
    </row>
    <row r="187" spans="1:9" ht="12.25" customHeight="1" x14ac:dyDescent="0.3">
      <c r="A187" s="4"/>
      <c r="B187" s="13"/>
      <c r="C187" s="13"/>
      <c r="D187" s="67" t="s">
        <v>2588</v>
      </c>
      <c r="E187" s="138"/>
      <c r="F187" s="138"/>
      <c r="G187" s="69">
        <v>17.867999999999999</v>
      </c>
      <c r="H187" s="35"/>
      <c r="I187" s="39"/>
    </row>
    <row r="188" spans="1:9" ht="12.25" customHeight="1" x14ac:dyDescent="0.3">
      <c r="A188" s="4"/>
      <c r="B188" s="13"/>
      <c r="C188" s="13"/>
      <c r="D188" s="67" t="s">
        <v>2589</v>
      </c>
      <c r="E188" s="138"/>
      <c r="F188" s="138"/>
      <c r="G188" s="69">
        <v>19.59</v>
      </c>
      <c r="H188" s="35"/>
      <c r="I188" s="39"/>
    </row>
    <row r="189" spans="1:9" x14ac:dyDescent="0.3">
      <c r="A189" s="6" t="s">
        <v>85</v>
      </c>
      <c r="B189" s="15"/>
      <c r="C189" s="15" t="s">
        <v>1085</v>
      </c>
      <c r="D189" s="107" t="s">
        <v>1713</v>
      </c>
      <c r="E189" s="108"/>
      <c r="F189" s="15" t="s">
        <v>2387</v>
      </c>
      <c r="G189" s="22">
        <v>4.3460999999999999</v>
      </c>
      <c r="H189" s="73">
        <v>0</v>
      </c>
      <c r="I189" s="39"/>
    </row>
    <row r="190" spans="1:9" ht="12.25" customHeight="1" x14ac:dyDescent="0.3">
      <c r="A190" s="6"/>
      <c r="B190" s="15"/>
      <c r="C190" s="15"/>
      <c r="D190" s="67" t="s">
        <v>2590</v>
      </c>
      <c r="E190" s="138"/>
      <c r="F190" s="138"/>
      <c r="G190" s="70">
        <v>3.9510000000000001</v>
      </c>
      <c r="H190" s="37"/>
      <c r="I190" s="39"/>
    </row>
    <row r="191" spans="1:9" ht="12.25" customHeight="1" x14ac:dyDescent="0.3">
      <c r="A191" s="6"/>
      <c r="B191" s="15"/>
      <c r="C191" s="15"/>
      <c r="D191" s="67" t="s">
        <v>2591</v>
      </c>
      <c r="E191" s="138"/>
      <c r="F191" s="138"/>
      <c r="G191" s="70">
        <v>0.39510000000000001</v>
      </c>
      <c r="H191" s="37"/>
      <c r="I191" s="39"/>
    </row>
    <row r="192" spans="1:9" x14ac:dyDescent="0.3">
      <c r="A192" s="6" t="s">
        <v>86</v>
      </c>
      <c r="B192" s="15"/>
      <c r="C192" s="15" t="s">
        <v>1086</v>
      </c>
      <c r="D192" s="107" t="s">
        <v>1714</v>
      </c>
      <c r="E192" s="108"/>
      <c r="F192" s="15" t="s">
        <v>2387</v>
      </c>
      <c r="G192" s="22">
        <v>59.62</v>
      </c>
      <c r="H192" s="73">
        <v>0</v>
      </c>
      <c r="I192" s="39"/>
    </row>
    <row r="193" spans="1:9" ht="12.25" customHeight="1" x14ac:dyDescent="0.3">
      <c r="A193" s="6"/>
      <c r="B193" s="15"/>
      <c r="C193" s="15"/>
      <c r="D193" s="67" t="s">
        <v>2592</v>
      </c>
      <c r="E193" s="138"/>
      <c r="F193" s="138"/>
      <c r="G193" s="70">
        <v>54.2</v>
      </c>
      <c r="H193" s="37"/>
      <c r="I193" s="39"/>
    </row>
    <row r="194" spans="1:9" ht="12.25" customHeight="1" x14ac:dyDescent="0.3">
      <c r="A194" s="6"/>
      <c r="B194" s="15"/>
      <c r="C194" s="15"/>
      <c r="D194" s="67" t="s">
        <v>2593</v>
      </c>
      <c r="E194" s="138"/>
      <c r="F194" s="138"/>
      <c r="G194" s="70">
        <v>5.42</v>
      </c>
      <c r="H194" s="37"/>
      <c r="I194" s="39"/>
    </row>
    <row r="195" spans="1:9" x14ac:dyDescent="0.3">
      <c r="A195" s="66"/>
      <c r="B195" s="14"/>
      <c r="C195" s="14" t="s">
        <v>723</v>
      </c>
      <c r="D195" s="103" t="s">
        <v>1715</v>
      </c>
      <c r="E195" s="104"/>
      <c r="F195" s="14"/>
      <c r="G195" s="31"/>
      <c r="H195" s="36"/>
      <c r="I195" s="39"/>
    </row>
    <row r="196" spans="1:9" x14ac:dyDescent="0.3">
      <c r="A196" s="4" t="s">
        <v>87</v>
      </c>
      <c r="B196" s="13"/>
      <c r="C196" s="13" t="s">
        <v>1087</v>
      </c>
      <c r="D196" s="101" t="s">
        <v>1716</v>
      </c>
      <c r="E196" s="102"/>
      <c r="F196" s="13" t="s">
        <v>2384</v>
      </c>
      <c r="G196" s="21">
        <v>3</v>
      </c>
      <c r="H196" s="72">
        <v>0</v>
      </c>
      <c r="I196" s="39"/>
    </row>
    <row r="197" spans="1:9" x14ac:dyDescent="0.3">
      <c r="A197" s="4" t="s">
        <v>88</v>
      </c>
      <c r="B197" s="13"/>
      <c r="C197" s="13" t="s">
        <v>1087</v>
      </c>
      <c r="D197" s="101" t="s">
        <v>1717</v>
      </c>
      <c r="E197" s="102"/>
      <c r="F197" s="13" t="s">
        <v>2384</v>
      </c>
      <c r="G197" s="21">
        <v>16</v>
      </c>
      <c r="H197" s="72">
        <v>0</v>
      </c>
      <c r="I197" s="39"/>
    </row>
    <row r="198" spans="1:9" x14ac:dyDescent="0.3">
      <c r="A198" s="4" t="s">
        <v>89</v>
      </c>
      <c r="B198" s="13"/>
      <c r="C198" s="13" t="s">
        <v>1087</v>
      </c>
      <c r="D198" s="101" t="s">
        <v>1718</v>
      </c>
      <c r="E198" s="102"/>
      <c r="F198" s="13" t="s">
        <v>2384</v>
      </c>
      <c r="G198" s="21">
        <v>1</v>
      </c>
      <c r="H198" s="72">
        <v>0</v>
      </c>
      <c r="I198" s="39"/>
    </row>
    <row r="199" spans="1:9" x14ac:dyDescent="0.3">
      <c r="A199" s="4" t="s">
        <v>90</v>
      </c>
      <c r="B199" s="13"/>
      <c r="C199" s="13" t="s">
        <v>1087</v>
      </c>
      <c r="D199" s="101" t="s">
        <v>1719</v>
      </c>
      <c r="E199" s="102"/>
      <c r="F199" s="13" t="s">
        <v>2384</v>
      </c>
      <c r="G199" s="21">
        <v>2</v>
      </c>
      <c r="H199" s="72">
        <v>0</v>
      </c>
      <c r="I199" s="39"/>
    </row>
    <row r="200" spans="1:9" x14ac:dyDescent="0.3">
      <c r="A200" s="4" t="s">
        <v>91</v>
      </c>
      <c r="B200" s="13"/>
      <c r="C200" s="13" t="s">
        <v>1087</v>
      </c>
      <c r="D200" s="101" t="s">
        <v>1720</v>
      </c>
      <c r="E200" s="102"/>
      <c r="F200" s="13" t="s">
        <v>2384</v>
      </c>
      <c r="G200" s="21">
        <v>44</v>
      </c>
      <c r="H200" s="72">
        <v>0</v>
      </c>
      <c r="I200" s="39"/>
    </row>
    <row r="201" spans="1:9" x14ac:dyDescent="0.3">
      <c r="A201" s="4" t="s">
        <v>92</v>
      </c>
      <c r="B201" s="13"/>
      <c r="C201" s="13" t="s">
        <v>1087</v>
      </c>
      <c r="D201" s="101" t="s">
        <v>1721</v>
      </c>
      <c r="E201" s="102"/>
      <c r="F201" s="13" t="s">
        <v>2385</v>
      </c>
      <c r="G201" s="21">
        <v>82</v>
      </c>
      <c r="H201" s="72">
        <v>0</v>
      </c>
      <c r="I201" s="39"/>
    </row>
    <row r="202" spans="1:9" x14ac:dyDescent="0.3">
      <c r="A202" s="4" t="s">
        <v>93</v>
      </c>
      <c r="B202" s="13"/>
      <c r="C202" s="13" t="s">
        <v>1087</v>
      </c>
      <c r="D202" s="101" t="s">
        <v>1722</v>
      </c>
      <c r="E202" s="102"/>
      <c r="F202" s="13" t="s">
        <v>2385</v>
      </c>
      <c r="G202" s="21">
        <v>124</v>
      </c>
      <c r="H202" s="72">
        <v>0</v>
      </c>
      <c r="I202" s="39"/>
    </row>
    <row r="203" spans="1:9" x14ac:dyDescent="0.3">
      <c r="A203" s="4" t="s">
        <v>94</v>
      </c>
      <c r="B203" s="13"/>
      <c r="C203" s="13" t="s">
        <v>1087</v>
      </c>
      <c r="D203" s="101" t="s">
        <v>1723</v>
      </c>
      <c r="E203" s="102"/>
      <c r="F203" s="13" t="s">
        <v>2385</v>
      </c>
      <c r="G203" s="21">
        <v>22</v>
      </c>
      <c r="H203" s="72">
        <v>0</v>
      </c>
      <c r="I203" s="39"/>
    </row>
    <row r="204" spans="1:9" x14ac:dyDescent="0.3">
      <c r="A204" s="4" t="s">
        <v>95</v>
      </c>
      <c r="B204" s="13"/>
      <c r="C204" s="13" t="s">
        <v>1087</v>
      </c>
      <c r="D204" s="101" t="s">
        <v>1724</v>
      </c>
      <c r="E204" s="102"/>
      <c r="F204" s="13" t="s">
        <v>2385</v>
      </c>
      <c r="G204" s="21">
        <v>35</v>
      </c>
      <c r="H204" s="72">
        <v>0</v>
      </c>
      <c r="I204" s="39"/>
    </row>
    <row r="205" spans="1:9" x14ac:dyDescent="0.3">
      <c r="A205" s="4" t="s">
        <v>96</v>
      </c>
      <c r="B205" s="13"/>
      <c r="C205" s="13" t="s">
        <v>1087</v>
      </c>
      <c r="D205" s="101" t="s">
        <v>1725</v>
      </c>
      <c r="E205" s="102"/>
      <c r="F205" s="13" t="s">
        <v>2385</v>
      </c>
      <c r="G205" s="21">
        <v>10</v>
      </c>
      <c r="H205" s="72">
        <v>0</v>
      </c>
      <c r="I205" s="39"/>
    </row>
    <row r="206" spans="1:9" x14ac:dyDescent="0.3">
      <c r="A206" s="4" t="s">
        <v>97</v>
      </c>
      <c r="B206" s="13"/>
      <c r="C206" s="13" t="s">
        <v>1087</v>
      </c>
      <c r="D206" s="101" t="s">
        <v>1726</v>
      </c>
      <c r="E206" s="102"/>
      <c r="F206" s="13" t="s">
        <v>2385</v>
      </c>
      <c r="G206" s="21">
        <v>273</v>
      </c>
      <c r="H206" s="72">
        <v>0</v>
      </c>
      <c r="I206" s="39"/>
    </row>
    <row r="207" spans="1:9" x14ac:dyDescent="0.3">
      <c r="A207" s="4" t="s">
        <v>98</v>
      </c>
      <c r="B207" s="13"/>
      <c r="C207" s="13" t="s">
        <v>1087</v>
      </c>
      <c r="D207" s="101" t="s">
        <v>1727</v>
      </c>
      <c r="E207" s="102"/>
      <c r="F207" s="13" t="s">
        <v>2385</v>
      </c>
      <c r="G207" s="21">
        <v>82</v>
      </c>
      <c r="H207" s="72">
        <v>0</v>
      </c>
      <c r="I207" s="39"/>
    </row>
    <row r="208" spans="1:9" x14ac:dyDescent="0.3">
      <c r="A208" s="4" t="s">
        <v>99</v>
      </c>
      <c r="B208" s="13"/>
      <c r="C208" s="13" t="s">
        <v>1087</v>
      </c>
      <c r="D208" s="101" t="s">
        <v>1728</v>
      </c>
      <c r="E208" s="102"/>
      <c r="F208" s="13" t="s">
        <v>2385</v>
      </c>
      <c r="G208" s="21">
        <v>124</v>
      </c>
      <c r="H208" s="72">
        <v>0</v>
      </c>
      <c r="I208" s="39"/>
    </row>
    <row r="209" spans="1:9" x14ac:dyDescent="0.3">
      <c r="A209" s="4" t="s">
        <v>100</v>
      </c>
      <c r="B209" s="13"/>
      <c r="C209" s="13" t="s">
        <v>1087</v>
      </c>
      <c r="D209" s="101" t="s">
        <v>1729</v>
      </c>
      <c r="E209" s="102"/>
      <c r="F209" s="13" t="s">
        <v>2385</v>
      </c>
      <c r="G209" s="21">
        <v>22</v>
      </c>
      <c r="H209" s="72">
        <v>0</v>
      </c>
      <c r="I209" s="39"/>
    </row>
    <row r="210" spans="1:9" x14ac:dyDescent="0.3">
      <c r="A210" s="4" t="s">
        <v>101</v>
      </c>
      <c r="B210" s="13"/>
      <c r="C210" s="13" t="s">
        <v>1087</v>
      </c>
      <c r="D210" s="101" t="s">
        <v>1730</v>
      </c>
      <c r="E210" s="102"/>
      <c r="F210" s="13" t="s">
        <v>2385</v>
      </c>
      <c r="G210" s="21">
        <v>35</v>
      </c>
      <c r="H210" s="72">
        <v>0</v>
      </c>
      <c r="I210" s="39"/>
    </row>
    <row r="211" spans="1:9" x14ac:dyDescent="0.3">
      <c r="A211" s="4" t="s">
        <v>102</v>
      </c>
      <c r="B211" s="13"/>
      <c r="C211" s="13" t="s">
        <v>1087</v>
      </c>
      <c r="D211" s="101" t="s">
        <v>1725</v>
      </c>
      <c r="E211" s="102"/>
      <c r="F211" s="13" t="s">
        <v>2385</v>
      </c>
      <c r="G211" s="21">
        <v>10</v>
      </c>
      <c r="H211" s="72">
        <v>0</v>
      </c>
      <c r="I211" s="39"/>
    </row>
    <row r="212" spans="1:9" x14ac:dyDescent="0.3">
      <c r="A212" s="4" t="s">
        <v>103</v>
      </c>
      <c r="B212" s="13"/>
      <c r="C212" s="13" t="s">
        <v>1087</v>
      </c>
      <c r="D212" s="101" t="s">
        <v>1731</v>
      </c>
      <c r="E212" s="102"/>
      <c r="F212" s="13" t="s">
        <v>2385</v>
      </c>
      <c r="G212" s="21">
        <v>46</v>
      </c>
      <c r="H212" s="72">
        <v>0</v>
      </c>
      <c r="I212" s="39"/>
    </row>
    <row r="213" spans="1:9" x14ac:dyDescent="0.3">
      <c r="A213" s="4" t="s">
        <v>104</v>
      </c>
      <c r="B213" s="13"/>
      <c r="C213" s="13" t="s">
        <v>1087</v>
      </c>
      <c r="D213" s="101" t="s">
        <v>1732</v>
      </c>
      <c r="E213" s="102"/>
      <c r="F213" s="13" t="s">
        <v>2385</v>
      </c>
      <c r="G213" s="21">
        <v>58</v>
      </c>
      <c r="H213" s="72">
        <v>0</v>
      </c>
      <c r="I213" s="39"/>
    </row>
    <row r="214" spans="1:9" x14ac:dyDescent="0.3">
      <c r="A214" s="4" t="s">
        <v>105</v>
      </c>
      <c r="B214" s="13"/>
      <c r="C214" s="13" t="s">
        <v>1087</v>
      </c>
      <c r="D214" s="101" t="s">
        <v>1733</v>
      </c>
      <c r="E214" s="102"/>
      <c r="F214" s="13" t="s">
        <v>2385</v>
      </c>
      <c r="G214" s="21">
        <v>48</v>
      </c>
      <c r="H214" s="72">
        <v>0</v>
      </c>
      <c r="I214" s="39"/>
    </row>
    <row r="215" spans="1:9" x14ac:dyDescent="0.3">
      <c r="A215" s="4" t="s">
        <v>106</v>
      </c>
      <c r="B215" s="13"/>
      <c r="C215" s="13" t="s">
        <v>1087</v>
      </c>
      <c r="D215" s="101" t="s">
        <v>1734</v>
      </c>
      <c r="E215" s="102"/>
      <c r="F215" s="13" t="s">
        <v>2386</v>
      </c>
      <c r="G215" s="21">
        <v>4</v>
      </c>
      <c r="H215" s="72">
        <v>0</v>
      </c>
      <c r="I215" s="39"/>
    </row>
    <row r="216" spans="1:9" x14ac:dyDescent="0.3">
      <c r="A216" s="4" t="s">
        <v>107</v>
      </c>
      <c r="B216" s="13"/>
      <c r="C216" s="13" t="s">
        <v>1087</v>
      </c>
      <c r="D216" s="101" t="s">
        <v>1735</v>
      </c>
      <c r="E216" s="102"/>
      <c r="F216" s="13" t="s">
        <v>2385</v>
      </c>
      <c r="G216" s="21">
        <v>178</v>
      </c>
      <c r="H216" s="72">
        <v>0</v>
      </c>
      <c r="I216" s="39"/>
    </row>
    <row r="217" spans="1:9" x14ac:dyDescent="0.3">
      <c r="A217" s="4" t="s">
        <v>108</v>
      </c>
      <c r="B217" s="13"/>
      <c r="C217" s="13" t="s">
        <v>1087</v>
      </c>
      <c r="D217" s="101" t="s">
        <v>1736</v>
      </c>
      <c r="E217" s="102"/>
      <c r="F217" s="13" t="s">
        <v>2385</v>
      </c>
      <c r="G217" s="21">
        <v>67</v>
      </c>
      <c r="H217" s="72">
        <v>0</v>
      </c>
      <c r="I217" s="39"/>
    </row>
    <row r="218" spans="1:9" x14ac:dyDescent="0.3">
      <c r="A218" s="4" t="s">
        <v>109</v>
      </c>
      <c r="B218" s="13"/>
      <c r="C218" s="13" t="s">
        <v>1087</v>
      </c>
      <c r="D218" s="101" t="s">
        <v>1737</v>
      </c>
      <c r="E218" s="102"/>
      <c r="F218" s="13" t="s">
        <v>2384</v>
      </c>
      <c r="G218" s="21">
        <v>15</v>
      </c>
      <c r="H218" s="72">
        <v>0</v>
      </c>
      <c r="I218" s="39"/>
    </row>
    <row r="219" spans="1:9" x14ac:dyDescent="0.3">
      <c r="A219" s="4" t="s">
        <v>110</v>
      </c>
      <c r="B219" s="13"/>
      <c r="C219" s="13" t="s">
        <v>1087</v>
      </c>
      <c r="D219" s="101" t="s">
        <v>1738</v>
      </c>
      <c r="E219" s="102"/>
      <c r="F219" s="13"/>
      <c r="G219" s="21">
        <v>1</v>
      </c>
      <c r="H219" s="72">
        <v>0</v>
      </c>
      <c r="I219" s="39"/>
    </row>
    <row r="220" spans="1:9" x14ac:dyDescent="0.3">
      <c r="A220" s="4" t="s">
        <v>111</v>
      </c>
      <c r="B220" s="13"/>
      <c r="C220" s="13" t="s">
        <v>1087</v>
      </c>
      <c r="D220" s="101" t="s">
        <v>1739</v>
      </c>
      <c r="E220" s="102"/>
      <c r="F220" s="13"/>
      <c r="G220" s="21">
        <v>1</v>
      </c>
      <c r="H220" s="72">
        <v>0</v>
      </c>
      <c r="I220" s="39"/>
    </row>
    <row r="221" spans="1:9" x14ac:dyDescent="0.3">
      <c r="A221" s="4" t="s">
        <v>112</v>
      </c>
      <c r="B221" s="13"/>
      <c r="C221" s="13" t="s">
        <v>1087</v>
      </c>
      <c r="D221" s="101" t="s">
        <v>1740</v>
      </c>
      <c r="E221" s="102"/>
      <c r="F221" s="13"/>
      <c r="G221" s="21">
        <v>1</v>
      </c>
      <c r="H221" s="72">
        <v>0</v>
      </c>
      <c r="I221" s="39"/>
    </row>
    <row r="222" spans="1:9" x14ac:dyDescent="0.3">
      <c r="A222" s="4" t="s">
        <v>113</v>
      </c>
      <c r="B222" s="13"/>
      <c r="C222" s="13" t="s">
        <v>1087</v>
      </c>
      <c r="D222" s="101" t="s">
        <v>1741</v>
      </c>
      <c r="E222" s="102"/>
      <c r="F222" s="13"/>
      <c r="G222" s="21">
        <v>1</v>
      </c>
      <c r="H222" s="72">
        <v>0</v>
      </c>
      <c r="I222" s="39"/>
    </row>
    <row r="223" spans="1:9" x14ac:dyDescent="0.3">
      <c r="A223" s="4" t="s">
        <v>114</v>
      </c>
      <c r="B223" s="13"/>
      <c r="C223" s="13" t="s">
        <v>1087</v>
      </c>
      <c r="D223" s="101" t="s">
        <v>1742</v>
      </c>
      <c r="E223" s="102"/>
      <c r="F223" s="13"/>
      <c r="G223" s="21">
        <v>1</v>
      </c>
      <c r="H223" s="72">
        <v>0</v>
      </c>
      <c r="I223" s="39"/>
    </row>
    <row r="224" spans="1:9" x14ac:dyDescent="0.3">
      <c r="A224" s="4" t="s">
        <v>115</v>
      </c>
      <c r="B224" s="13"/>
      <c r="C224" s="13" t="s">
        <v>1087</v>
      </c>
      <c r="D224" s="101" t="s">
        <v>1743</v>
      </c>
      <c r="E224" s="102"/>
      <c r="F224" s="13"/>
      <c r="G224" s="21">
        <v>1</v>
      </c>
      <c r="H224" s="72">
        <v>0</v>
      </c>
      <c r="I224" s="39"/>
    </row>
    <row r="225" spans="1:9" x14ac:dyDescent="0.3">
      <c r="A225" s="4" t="s">
        <v>116</v>
      </c>
      <c r="B225" s="13"/>
      <c r="C225" s="13" t="s">
        <v>1087</v>
      </c>
      <c r="D225" s="101" t="s">
        <v>1744</v>
      </c>
      <c r="E225" s="102"/>
      <c r="F225" s="13"/>
      <c r="G225" s="21">
        <v>1</v>
      </c>
      <c r="H225" s="72">
        <v>0</v>
      </c>
      <c r="I225" s="39"/>
    </row>
    <row r="226" spans="1:9" x14ac:dyDescent="0.3">
      <c r="A226" s="4" t="s">
        <v>117</v>
      </c>
      <c r="B226" s="13"/>
      <c r="C226" s="13" t="s">
        <v>1087</v>
      </c>
      <c r="D226" s="101" t="s">
        <v>1745</v>
      </c>
      <c r="E226" s="102"/>
      <c r="F226" s="13"/>
      <c r="G226" s="21">
        <v>1</v>
      </c>
      <c r="H226" s="72">
        <v>0</v>
      </c>
      <c r="I226" s="39"/>
    </row>
    <row r="227" spans="1:9" x14ac:dyDescent="0.3">
      <c r="A227" s="4" t="s">
        <v>118</v>
      </c>
      <c r="B227" s="13"/>
      <c r="C227" s="13" t="s">
        <v>1087</v>
      </c>
      <c r="D227" s="101" t="s">
        <v>1746</v>
      </c>
      <c r="E227" s="102"/>
      <c r="F227" s="13"/>
      <c r="G227" s="21">
        <v>1</v>
      </c>
      <c r="H227" s="72">
        <v>0</v>
      </c>
      <c r="I227" s="39"/>
    </row>
    <row r="228" spans="1:9" x14ac:dyDescent="0.3">
      <c r="A228" s="4" t="s">
        <v>119</v>
      </c>
      <c r="B228" s="13"/>
      <c r="C228" s="13" t="s">
        <v>1087</v>
      </c>
      <c r="D228" s="101" t="s">
        <v>1747</v>
      </c>
      <c r="E228" s="102"/>
      <c r="F228" s="13"/>
      <c r="G228" s="21">
        <v>1</v>
      </c>
      <c r="H228" s="72">
        <v>0</v>
      </c>
      <c r="I228" s="39"/>
    </row>
    <row r="229" spans="1:9" x14ac:dyDescent="0.3">
      <c r="A229" s="66"/>
      <c r="B229" s="14"/>
      <c r="C229" s="14" t="s">
        <v>1088</v>
      </c>
      <c r="D229" s="103" t="s">
        <v>1748</v>
      </c>
      <c r="E229" s="104"/>
      <c r="F229" s="14"/>
      <c r="G229" s="31"/>
      <c r="H229" s="36"/>
      <c r="I229" s="39"/>
    </row>
    <row r="230" spans="1:9" x14ac:dyDescent="0.3">
      <c r="A230" s="4" t="s">
        <v>120</v>
      </c>
      <c r="B230" s="13"/>
      <c r="C230" s="13" t="s">
        <v>1089</v>
      </c>
      <c r="D230" s="101" t="s">
        <v>1749</v>
      </c>
      <c r="E230" s="102"/>
      <c r="F230" s="13" t="s">
        <v>2385</v>
      </c>
      <c r="G230" s="21">
        <v>392</v>
      </c>
      <c r="H230" s="72">
        <v>0</v>
      </c>
      <c r="I230" s="39"/>
    </row>
    <row r="231" spans="1:9" ht="12.25" customHeight="1" x14ac:dyDescent="0.3">
      <c r="A231" s="4"/>
      <c r="B231" s="13"/>
      <c r="C231" s="13"/>
      <c r="D231" s="67" t="s">
        <v>398</v>
      </c>
      <c r="E231" s="138"/>
      <c r="F231" s="138"/>
      <c r="G231" s="69">
        <v>392</v>
      </c>
      <c r="H231" s="35"/>
      <c r="I231" s="39"/>
    </row>
    <row r="232" spans="1:9" x14ac:dyDescent="0.3">
      <c r="A232" s="4" t="s">
        <v>121</v>
      </c>
      <c r="B232" s="13"/>
      <c r="C232" s="13" t="s">
        <v>1090</v>
      </c>
      <c r="D232" s="101" t="s">
        <v>1750</v>
      </c>
      <c r="E232" s="102"/>
      <c r="F232" s="13" t="s">
        <v>2385</v>
      </c>
      <c r="G232" s="21">
        <v>56</v>
      </c>
      <c r="H232" s="72">
        <v>0</v>
      </c>
      <c r="I232" s="39"/>
    </row>
    <row r="233" spans="1:9" ht="12.25" customHeight="1" x14ac:dyDescent="0.3">
      <c r="A233" s="4"/>
      <c r="B233" s="13"/>
      <c r="C233" s="13"/>
      <c r="D233" s="67" t="s">
        <v>62</v>
      </c>
      <c r="E233" s="138"/>
      <c r="F233" s="138"/>
      <c r="G233" s="69">
        <v>56</v>
      </c>
      <c r="H233" s="35"/>
      <c r="I233" s="39"/>
    </row>
    <row r="234" spans="1:9" x14ac:dyDescent="0.3">
      <c r="A234" s="4" t="s">
        <v>122</v>
      </c>
      <c r="B234" s="13"/>
      <c r="C234" s="13" t="s">
        <v>1091</v>
      </c>
      <c r="D234" s="101" t="s">
        <v>1751</v>
      </c>
      <c r="E234" s="102"/>
      <c r="F234" s="13" t="s">
        <v>2385</v>
      </c>
      <c r="G234" s="21">
        <v>1</v>
      </c>
      <c r="H234" s="72">
        <v>0</v>
      </c>
      <c r="I234" s="39"/>
    </row>
    <row r="235" spans="1:9" ht="12.25" customHeight="1" x14ac:dyDescent="0.3">
      <c r="A235" s="4"/>
      <c r="B235" s="13"/>
      <c r="C235" s="13"/>
      <c r="D235" s="67" t="s">
        <v>7</v>
      </c>
      <c r="E235" s="138"/>
      <c r="F235" s="138"/>
      <c r="G235" s="69">
        <v>1</v>
      </c>
      <c r="H235" s="35"/>
      <c r="I235" s="39"/>
    </row>
    <row r="236" spans="1:9" x14ac:dyDescent="0.3">
      <c r="A236" s="4" t="s">
        <v>123</v>
      </c>
      <c r="B236" s="13"/>
      <c r="C236" s="13" t="s">
        <v>1092</v>
      </c>
      <c r="D236" s="101" t="s">
        <v>1752</v>
      </c>
      <c r="E236" s="102"/>
      <c r="F236" s="13" t="s">
        <v>2385</v>
      </c>
      <c r="G236" s="21">
        <v>185</v>
      </c>
      <c r="H236" s="72">
        <v>0</v>
      </c>
      <c r="I236" s="39"/>
    </row>
    <row r="237" spans="1:9" ht="12.25" customHeight="1" x14ac:dyDescent="0.3">
      <c r="A237" s="4"/>
      <c r="B237" s="13"/>
      <c r="C237" s="13"/>
      <c r="D237" s="67" t="s">
        <v>191</v>
      </c>
      <c r="E237" s="138"/>
      <c r="F237" s="138"/>
      <c r="G237" s="69">
        <v>185</v>
      </c>
      <c r="H237" s="35"/>
      <c r="I237" s="39"/>
    </row>
    <row r="238" spans="1:9" x14ac:dyDescent="0.3">
      <c r="A238" s="4" t="s">
        <v>124</v>
      </c>
      <c r="B238" s="13"/>
      <c r="C238" s="13" t="s">
        <v>1093</v>
      </c>
      <c r="D238" s="101" t="s">
        <v>1753</v>
      </c>
      <c r="E238" s="102"/>
      <c r="F238" s="13" t="s">
        <v>2390</v>
      </c>
      <c r="G238" s="21">
        <v>1</v>
      </c>
      <c r="H238" s="72">
        <v>0</v>
      </c>
      <c r="I238" s="39"/>
    </row>
    <row r="239" spans="1:9" ht="12.25" customHeight="1" x14ac:dyDescent="0.3">
      <c r="A239" s="4"/>
      <c r="B239" s="13"/>
      <c r="C239" s="13"/>
      <c r="D239" s="67" t="s">
        <v>7</v>
      </c>
      <c r="E239" s="138"/>
      <c r="F239" s="138"/>
      <c r="G239" s="69">
        <v>1</v>
      </c>
      <c r="H239" s="35"/>
      <c r="I239" s="39"/>
    </row>
    <row r="240" spans="1:9" x14ac:dyDescent="0.3">
      <c r="A240" s="4" t="s">
        <v>125</v>
      </c>
      <c r="B240" s="13"/>
      <c r="C240" s="13" t="s">
        <v>1094</v>
      </c>
      <c r="D240" s="101" t="s">
        <v>1754</v>
      </c>
      <c r="E240" s="102"/>
      <c r="F240" s="13" t="s">
        <v>2386</v>
      </c>
      <c r="G240" s="21">
        <v>8</v>
      </c>
      <c r="H240" s="72">
        <v>0</v>
      </c>
      <c r="I240" s="39"/>
    </row>
    <row r="241" spans="1:9" ht="12.25" customHeight="1" x14ac:dyDescent="0.3">
      <c r="A241" s="4"/>
      <c r="B241" s="13"/>
      <c r="C241" s="13"/>
      <c r="D241" s="67" t="s">
        <v>14</v>
      </c>
      <c r="E241" s="138"/>
      <c r="F241" s="138"/>
      <c r="G241" s="69">
        <v>8</v>
      </c>
      <c r="H241" s="35"/>
      <c r="I241" s="39"/>
    </row>
    <row r="242" spans="1:9" x14ac:dyDescent="0.3">
      <c r="A242" s="4" t="s">
        <v>126</v>
      </c>
      <c r="B242" s="13"/>
      <c r="C242" s="13" t="s">
        <v>1095</v>
      </c>
      <c r="D242" s="101" t="s">
        <v>1755</v>
      </c>
      <c r="E242" s="102"/>
      <c r="F242" s="13" t="s">
        <v>2391</v>
      </c>
      <c r="G242" s="21">
        <v>90</v>
      </c>
      <c r="H242" s="72">
        <v>0</v>
      </c>
      <c r="I242" s="39"/>
    </row>
    <row r="243" spans="1:9" ht="12.25" customHeight="1" x14ac:dyDescent="0.3">
      <c r="A243" s="4"/>
      <c r="B243" s="13"/>
      <c r="C243" s="13"/>
      <c r="D243" s="67" t="s">
        <v>96</v>
      </c>
      <c r="E243" s="138"/>
      <c r="F243" s="138"/>
      <c r="G243" s="69">
        <v>90</v>
      </c>
      <c r="H243" s="35"/>
      <c r="I243" s="39"/>
    </row>
    <row r="244" spans="1:9" x14ac:dyDescent="0.3">
      <c r="A244" s="4" t="s">
        <v>127</v>
      </c>
      <c r="B244" s="13"/>
      <c r="C244" s="13" t="s">
        <v>1096</v>
      </c>
      <c r="D244" s="101" t="s">
        <v>1756</v>
      </c>
      <c r="E244" s="102"/>
      <c r="F244" s="13" t="s">
        <v>2391</v>
      </c>
      <c r="G244" s="21">
        <v>35</v>
      </c>
      <c r="H244" s="72">
        <v>0</v>
      </c>
      <c r="I244" s="39"/>
    </row>
    <row r="245" spans="1:9" ht="12.25" customHeight="1" x14ac:dyDescent="0.3">
      <c r="A245" s="4"/>
      <c r="B245" s="13"/>
      <c r="C245" s="13"/>
      <c r="D245" s="67" t="s">
        <v>41</v>
      </c>
      <c r="E245" s="138"/>
      <c r="F245" s="138"/>
      <c r="G245" s="69">
        <v>35</v>
      </c>
      <c r="H245" s="35"/>
      <c r="I245" s="39"/>
    </row>
    <row r="246" spans="1:9" x14ac:dyDescent="0.3">
      <c r="A246" s="4" t="s">
        <v>128</v>
      </c>
      <c r="B246" s="13"/>
      <c r="C246" s="13" t="s">
        <v>1097</v>
      </c>
      <c r="D246" s="101" t="s">
        <v>1757</v>
      </c>
      <c r="E246" s="102"/>
      <c r="F246" s="13" t="s">
        <v>2391</v>
      </c>
      <c r="G246" s="21">
        <v>56</v>
      </c>
      <c r="H246" s="72">
        <v>0</v>
      </c>
      <c r="I246" s="39"/>
    </row>
    <row r="247" spans="1:9" ht="12.25" customHeight="1" x14ac:dyDescent="0.3">
      <c r="A247" s="4"/>
      <c r="B247" s="13"/>
      <c r="C247" s="13"/>
      <c r="D247" s="67" t="s">
        <v>62</v>
      </c>
      <c r="E247" s="138"/>
      <c r="F247" s="138"/>
      <c r="G247" s="69">
        <v>56</v>
      </c>
      <c r="H247" s="35"/>
      <c r="I247" s="39"/>
    </row>
    <row r="248" spans="1:9" x14ac:dyDescent="0.3">
      <c r="A248" s="66"/>
      <c r="B248" s="14"/>
      <c r="C248" s="14" t="s">
        <v>727</v>
      </c>
      <c r="D248" s="103" t="s">
        <v>1758</v>
      </c>
      <c r="E248" s="104"/>
      <c r="F248" s="14"/>
      <c r="G248" s="31"/>
      <c r="H248" s="36"/>
      <c r="I248" s="39"/>
    </row>
    <row r="249" spans="1:9" x14ac:dyDescent="0.3">
      <c r="A249" s="4" t="s">
        <v>129</v>
      </c>
      <c r="B249" s="13"/>
      <c r="C249" s="13" t="s">
        <v>1098</v>
      </c>
      <c r="D249" s="101" t="s">
        <v>1759</v>
      </c>
      <c r="E249" s="102"/>
      <c r="F249" s="13" t="s">
        <v>2392</v>
      </c>
      <c r="G249" s="21">
        <v>1</v>
      </c>
      <c r="H249" s="72">
        <v>0</v>
      </c>
      <c r="I249" s="39"/>
    </row>
    <row r="250" spans="1:9" ht="12.25" customHeight="1" x14ac:dyDescent="0.3">
      <c r="A250" s="4"/>
      <c r="B250" s="13"/>
      <c r="C250" s="13"/>
      <c r="D250" s="67" t="s">
        <v>7</v>
      </c>
      <c r="E250" s="138"/>
      <c r="F250" s="138"/>
      <c r="G250" s="69">
        <v>1</v>
      </c>
      <c r="H250" s="35"/>
      <c r="I250" s="39"/>
    </row>
    <row r="251" spans="1:9" x14ac:dyDescent="0.3">
      <c r="A251" s="6" t="s">
        <v>130</v>
      </c>
      <c r="B251" s="15"/>
      <c r="C251" s="15" t="s">
        <v>1099</v>
      </c>
      <c r="D251" s="107" t="s">
        <v>1760</v>
      </c>
      <c r="E251" s="108"/>
      <c r="F251" s="15" t="s">
        <v>2391</v>
      </c>
      <c r="G251" s="22">
        <v>1</v>
      </c>
      <c r="H251" s="73">
        <v>0</v>
      </c>
      <c r="I251" s="39"/>
    </row>
    <row r="252" spans="1:9" ht="12.25" customHeight="1" x14ac:dyDescent="0.3">
      <c r="A252" s="6"/>
      <c r="B252" s="15"/>
      <c r="C252" s="15"/>
      <c r="D252" s="67" t="s">
        <v>7</v>
      </c>
      <c r="E252" s="138"/>
      <c r="F252" s="138"/>
      <c r="G252" s="70">
        <v>1</v>
      </c>
      <c r="H252" s="37"/>
      <c r="I252" s="39"/>
    </row>
    <row r="253" spans="1:9" x14ac:dyDescent="0.3">
      <c r="A253" s="6" t="s">
        <v>131</v>
      </c>
      <c r="B253" s="15"/>
      <c r="C253" s="15" t="s">
        <v>1100</v>
      </c>
      <c r="D253" s="107" t="s">
        <v>1761</v>
      </c>
      <c r="E253" s="108"/>
      <c r="F253" s="15" t="s">
        <v>2391</v>
      </c>
      <c r="G253" s="22">
        <v>1</v>
      </c>
      <c r="H253" s="73">
        <v>0</v>
      </c>
      <c r="I253" s="39"/>
    </row>
    <row r="254" spans="1:9" ht="12.25" customHeight="1" x14ac:dyDescent="0.3">
      <c r="A254" s="6"/>
      <c r="B254" s="15"/>
      <c r="C254" s="15"/>
      <c r="D254" s="67" t="s">
        <v>7</v>
      </c>
      <c r="E254" s="138"/>
      <c r="F254" s="138"/>
      <c r="G254" s="70">
        <v>1</v>
      </c>
      <c r="H254" s="37"/>
      <c r="I254" s="39"/>
    </row>
    <row r="255" spans="1:9" x14ac:dyDescent="0.3">
      <c r="A255" s="6" t="s">
        <v>132</v>
      </c>
      <c r="B255" s="15"/>
      <c r="C255" s="15" t="s">
        <v>1101</v>
      </c>
      <c r="D255" s="107" t="s">
        <v>1762</v>
      </c>
      <c r="E255" s="108"/>
      <c r="F255" s="15" t="s">
        <v>2391</v>
      </c>
      <c r="G255" s="22">
        <v>1</v>
      </c>
      <c r="H255" s="73">
        <v>0</v>
      </c>
      <c r="I255" s="39"/>
    </row>
    <row r="256" spans="1:9" ht="12.25" customHeight="1" x14ac:dyDescent="0.3">
      <c r="A256" s="6"/>
      <c r="B256" s="15"/>
      <c r="C256" s="15"/>
      <c r="D256" s="67" t="s">
        <v>7</v>
      </c>
      <c r="E256" s="138"/>
      <c r="F256" s="138"/>
      <c r="G256" s="70">
        <v>1</v>
      </c>
      <c r="H256" s="37"/>
      <c r="I256" s="39"/>
    </row>
    <row r="257" spans="1:9" x14ac:dyDescent="0.3">
      <c r="A257" s="6" t="s">
        <v>133</v>
      </c>
      <c r="B257" s="15"/>
      <c r="C257" s="15" t="s">
        <v>1102</v>
      </c>
      <c r="D257" s="107" t="s">
        <v>1763</v>
      </c>
      <c r="E257" s="108"/>
      <c r="F257" s="15" t="s">
        <v>2391</v>
      </c>
      <c r="G257" s="22">
        <v>2</v>
      </c>
      <c r="H257" s="73">
        <v>0</v>
      </c>
      <c r="I257" s="39"/>
    </row>
    <row r="258" spans="1:9" ht="12.25" customHeight="1" x14ac:dyDescent="0.3">
      <c r="A258" s="6"/>
      <c r="B258" s="15"/>
      <c r="C258" s="15"/>
      <c r="D258" s="67" t="s">
        <v>8</v>
      </c>
      <c r="E258" s="138"/>
      <c r="F258" s="138"/>
      <c r="G258" s="70">
        <v>2</v>
      </c>
      <c r="H258" s="37"/>
      <c r="I258" s="39"/>
    </row>
    <row r="259" spans="1:9" x14ac:dyDescent="0.3">
      <c r="A259" s="6" t="s">
        <v>134</v>
      </c>
      <c r="B259" s="15"/>
      <c r="C259" s="15" t="s">
        <v>1103</v>
      </c>
      <c r="D259" s="107" t="s">
        <v>1764</v>
      </c>
      <c r="E259" s="108"/>
      <c r="F259" s="15" t="s">
        <v>2391</v>
      </c>
      <c r="G259" s="22">
        <v>1</v>
      </c>
      <c r="H259" s="73">
        <v>0</v>
      </c>
      <c r="I259" s="39"/>
    </row>
    <row r="260" spans="1:9" ht="12.25" customHeight="1" x14ac:dyDescent="0.3">
      <c r="A260" s="6"/>
      <c r="B260" s="15"/>
      <c r="C260" s="15"/>
      <c r="D260" s="67" t="s">
        <v>7</v>
      </c>
      <c r="E260" s="138"/>
      <c r="F260" s="138"/>
      <c r="G260" s="70">
        <v>1</v>
      </c>
      <c r="H260" s="37"/>
      <c r="I260" s="39"/>
    </row>
    <row r="261" spans="1:9" x14ac:dyDescent="0.3">
      <c r="A261" s="6" t="s">
        <v>135</v>
      </c>
      <c r="B261" s="15"/>
      <c r="C261" s="15" t="s">
        <v>1104</v>
      </c>
      <c r="D261" s="107" t="s">
        <v>1765</v>
      </c>
      <c r="E261" s="108"/>
      <c r="F261" s="15" t="s">
        <v>2391</v>
      </c>
      <c r="G261" s="22">
        <v>2</v>
      </c>
      <c r="H261" s="73">
        <v>0</v>
      </c>
      <c r="I261" s="39"/>
    </row>
    <row r="262" spans="1:9" ht="12.25" customHeight="1" x14ac:dyDescent="0.3">
      <c r="A262" s="6"/>
      <c r="B262" s="15"/>
      <c r="C262" s="15"/>
      <c r="D262" s="67" t="s">
        <v>8</v>
      </c>
      <c r="E262" s="138"/>
      <c r="F262" s="138"/>
      <c r="G262" s="70">
        <v>2</v>
      </c>
      <c r="H262" s="37"/>
      <c r="I262" s="39"/>
    </row>
    <row r="263" spans="1:9" x14ac:dyDescent="0.3">
      <c r="A263" s="6" t="s">
        <v>136</v>
      </c>
      <c r="B263" s="15"/>
      <c r="C263" s="15" t="s">
        <v>1105</v>
      </c>
      <c r="D263" s="107" t="s">
        <v>1766</v>
      </c>
      <c r="E263" s="108"/>
      <c r="F263" s="15" t="s">
        <v>2391</v>
      </c>
      <c r="G263" s="22">
        <v>1</v>
      </c>
      <c r="H263" s="73">
        <v>0</v>
      </c>
      <c r="I263" s="39"/>
    </row>
    <row r="264" spans="1:9" ht="12.25" customHeight="1" x14ac:dyDescent="0.3">
      <c r="A264" s="6"/>
      <c r="B264" s="15"/>
      <c r="C264" s="15"/>
      <c r="D264" s="67" t="s">
        <v>7</v>
      </c>
      <c r="E264" s="138"/>
      <c r="F264" s="138"/>
      <c r="G264" s="70">
        <v>1</v>
      </c>
      <c r="H264" s="37"/>
      <c r="I264" s="39"/>
    </row>
    <row r="265" spans="1:9" x14ac:dyDescent="0.3">
      <c r="A265" s="6" t="s">
        <v>137</v>
      </c>
      <c r="B265" s="15"/>
      <c r="C265" s="15" t="s">
        <v>1106</v>
      </c>
      <c r="D265" s="107" t="s">
        <v>1767</v>
      </c>
      <c r="E265" s="108"/>
      <c r="F265" s="15" t="s">
        <v>2391</v>
      </c>
      <c r="G265" s="22">
        <v>1</v>
      </c>
      <c r="H265" s="73">
        <v>0</v>
      </c>
      <c r="I265" s="39"/>
    </row>
    <row r="266" spans="1:9" ht="12.25" customHeight="1" x14ac:dyDescent="0.3">
      <c r="A266" s="6"/>
      <c r="B266" s="15"/>
      <c r="C266" s="15"/>
      <c r="D266" s="67" t="s">
        <v>7</v>
      </c>
      <c r="E266" s="138"/>
      <c r="F266" s="138"/>
      <c r="G266" s="70">
        <v>1</v>
      </c>
      <c r="H266" s="37"/>
      <c r="I266" s="39"/>
    </row>
    <row r="267" spans="1:9" x14ac:dyDescent="0.3">
      <c r="A267" s="4" t="s">
        <v>138</v>
      </c>
      <c r="B267" s="13"/>
      <c r="C267" s="13" t="s">
        <v>1107</v>
      </c>
      <c r="D267" s="101" t="s">
        <v>1768</v>
      </c>
      <c r="E267" s="102"/>
      <c r="F267" s="13" t="s">
        <v>2390</v>
      </c>
      <c r="G267" s="21">
        <v>11</v>
      </c>
      <c r="H267" s="72">
        <v>0</v>
      </c>
      <c r="I267" s="39"/>
    </row>
    <row r="268" spans="1:9" ht="12.25" customHeight="1" x14ac:dyDescent="0.3">
      <c r="A268" s="4"/>
      <c r="B268" s="13"/>
      <c r="C268" s="13"/>
      <c r="D268" s="67" t="s">
        <v>2594</v>
      </c>
      <c r="E268" s="138"/>
      <c r="F268" s="138"/>
      <c r="G268" s="69">
        <v>11</v>
      </c>
      <c r="H268" s="35"/>
      <c r="I268" s="39"/>
    </row>
    <row r="269" spans="1:9" x14ac:dyDescent="0.3">
      <c r="A269" s="4" t="s">
        <v>139</v>
      </c>
      <c r="B269" s="13"/>
      <c r="C269" s="13" t="s">
        <v>1108</v>
      </c>
      <c r="D269" s="101" t="s">
        <v>1769</v>
      </c>
      <c r="E269" s="102"/>
      <c r="F269" s="13" t="s">
        <v>2392</v>
      </c>
      <c r="G269" s="21">
        <v>18</v>
      </c>
      <c r="H269" s="72">
        <v>0</v>
      </c>
      <c r="I269" s="39"/>
    </row>
    <row r="270" spans="1:9" ht="12.25" customHeight="1" x14ac:dyDescent="0.3">
      <c r="A270" s="4"/>
      <c r="B270" s="13"/>
      <c r="C270" s="13"/>
      <c r="D270" s="67" t="s">
        <v>24</v>
      </c>
      <c r="E270" s="138"/>
      <c r="F270" s="138"/>
      <c r="G270" s="69">
        <v>18</v>
      </c>
      <c r="H270" s="35"/>
      <c r="I270" s="39"/>
    </row>
    <row r="271" spans="1:9" x14ac:dyDescent="0.3">
      <c r="A271" s="4" t="s">
        <v>140</v>
      </c>
      <c r="B271" s="13"/>
      <c r="C271" s="13" t="s">
        <v>1109</v>
      </c>
      <c r="D271" s="101" t="s">
        <v>1770</v>
      </c>
      <c r="E271" s="102"/>
      <c r="F271" s="13" t="s">
        <v>2392</v>
      </c>
      <c r="G271" s="21">
        <v>1</v>
      </c>
      <c r="H271" s="72">
        <v>0</v>
      </c>
      <c r="I271" s="39"/>
    </row>
    <row r="272" spans="1:9" ht="12.25" customHeight="1" x14ac:dyDescent="0.3">
      <c r="A272" s="4"/>
      <c r="B272" s="13"/>
      <c r="C272" s="13"/>
      <c r="D272" s="67" t="s">
        <v>7</v>
      </c>
      <c r="E272" s="138"/>
      <c r="F272" s="138"/>
      <c r="G272" s="69">
        <v>1</v>
      </c>
      <c r="H272" s="35"/>
      <c r="I272" s="39"/>
    </row>
    <row r="273" spans="1:9" x14ac:dyDescent="0.3">
      <c r="A273" s="4" t="s">
        <v>141</v>
      </c>
      <c r="B273" s="13"/>
      <c r="C273" s="13" t="s">
        <v>1110</v>
      </c>
      <c r="D273" s="101" t="s">
        <v>1771</v>
      </c>
      <c r="E273" s="102"/>
      <c r="F273" s="13" t="s">
        <v>2391</v>
      </c>
      <c r="G273" s="21">
        <v>6</v>
      </c>
      <c r="H273" s="72">
        <v>0</v>
      </c>
      <c r="I273" s="39"/>
    </row>
    <row r="274" spans="1:9" ht="12.25" customHeight="1" x14ac:dyDescent="0.3">
      <c r="A274" s="4"/>
      <c r="B274" s="13"/>
      <c r="C274" s="13"/>
      <c r="D274" s="67" t="s">
        <v>12</v>
      </c>
      <c r="E274" s="138"/>
      <c r="F274" s="138"/>
      <c r="G274" s="69">
        <v>6</v>
      </c>
      <c r="H274" s="35"/>
      <c r="I274" s="39"/>
    </row>
    <row r="275" spans="1:9" x14ac:dyDescent="0.3">
      <c r="A275" s="4" t="s">
        <v>142</v>
      </c>
      <c r="B275" s="13"/>
      <c r="C275" s="13" t="s">
        <v>1111</v>
      </c>
      <c r="D275" s="101" t="s">
        <v>1772</v>
      </c>
      <c r="E275" s="102"/>
      <c r="F275" s="13" t="s">
        <v>2391</v>
      </c>
      <c r="G275" s="21">
        <v>1</v>
      </c>
      <c r="H275" s="72">
        <v>0</v>
      </c>
      <c r="I275" s="39"/>
    </row>
    <row r="276" spans="1:9" ht="12.25" customHeight="1" x14ac:dyDescent="0.3">
      <c r="A276" s="4"/>
      <c r="B276" s="13"/>
      <c r="C276" s="13"/>
      <c r="D276" s="67" t="s">
        <v>7</v>
      </c>
      <c r="E276" s="138"/>
      <c r="F276" s="138"/>
      <c r="G276" s="69">
        <v>1</v>
      </c>
      <c r="H276" s="35"/>
      <c r="I276" s="39"/>
    </row>
    <row r="277" spans="1:9" x14ac:dyDescent="0.3">
      <c r="A277" s="4" t="s">
        <v>143</v>
      </c>
      <c r="B277" s="13"/>
      <c r="C277" s="13" t="s">
        <v>1112</v>
      </c>
      <c r="D277" s="101" t="s">
        <v>1773</v>
      </c>
      <c r="E277" s="102"/>
      <c r="F277" s="13" t="s">
        <v>2392</v>
      </c>
      <c r="G277" s="21">
        <v>11</v>
      </c>
      <c r="H277" s="72">
        <v>0</v>
      </c>
      <c r="I277" s="39"/>
    </row>
    <row r="278" spans="1:9" ht="12.25" customHeight="1" x14ac:dyDescent="0.3">
      <c r="A278" s="4"/>
      <c r="B278" s="13"/>
      <c r="C278" s="13"/>
      <c r="D278" s="67" t="s">
        <v>17</v>
      </c>
      <c r="E278" s="138"/>
      <c r="F278" s="138"/>
      <c r="G278" s="69">
        <v>11</v>
      </c>
      <c r="H278" s="35"/>
      <c r="I278" s="39"/>
    </row>
    <row r="279" spans="1:9" x14ac:dyDescent="0.3">
      <c r="A279" s="4" t="s">
        <v>144</v>
      </c>
      <c r="B279" s="13"/>
      <c r="C279" s="13" t="s">
        <v>1113</v>
      </c>
      <c r="D279" s="101" t="s">
        <v>1774</v>
      </c>
      <c r="E279" s="102"/>
      <c r="F279" s="13" t="s">
        <v>2392</v>
      </c>
      <c r="G279" s="21">
        <v>3</v>
      </c>
      <c r="H279" s="72">
        <v>0</v>
      </c>
      <c r="I279" s="39"/>
    </row>
    <row r="280" spans="1:9" ht="12.25" customHeight="1" x14ac:dyDescent="0.3">
      <c r="A280" s="4"/>
      <c r="B280" s="13"/>
      <c r="C280" s="13"/>
      <c r="D280" s="67" t="s">
        <v>9</v>
      </c>
      <c r="E280" s="138"/>
      <c r="F280" s="138"/>
      <c r="G280" s="69">
        <v>3</v>
      </c>
      <c r="H280" s="35"/>
      <c r="I280" s="39"/>
    </row>
    <row r="281" spans="1:9" x14ac:dyDescent="0.3">
      <c r="A281" s="4" t="s">
        <v>145</v>
      </c>
      <c r="B281" s="13"/>
      <c r="C281" s="13" t="s">
        <v>1114</v>
      </c>
      <c r="D281" s="101" t="s">
        <v>1775</v>
      </c>
      <c r="E281" s="102"/>
      <c r="F281" s="13" t="s">
        <v>2391</v>
      </c>
      <c r="G281" s="21">
        <v>3</v>
      </c>
      <c r="H281" s="72">
        <v>0</v>
      </c>
      <c r="I281" s="39"/>
    </row>
    <row r="282" spans="1:9" ht="12.25" customHeight="1" x14ac:dyDescent="0.3">
      <c r="A282" s="4"/>
      <c r="B282" s="13"/>
      <c r="C282" s="13"/>
      <c r="D282" s="67" t="s">
        <v>9</v>
      </c>
      <c r="E282" s="138"/>
      <c r="F282" s="138"/>
      <c r="G282" s="69">
        <v>3</v>
      </c>
      <c r="H282" s="35"/>
      <c r="I282" s="39"/>
    </row>
    <row r="283" spans="1:9" x14ac:dyDescent="0.3">
      <c r="A283" s="4" t="s">
        <v>146</v>
      </c>
      <c r="B283" s="13"/>
      <c r="C283" s="13" t="s">
        <v>1115</v>
      </c>
      <c r="D283" s="101" t="s">
        <v>1776</v>
      </c>
      <c r="E283" s="102"/>
      <c r="F283" s="13" t="s">
        <v>2391</v>
      </c>
      <c r="G283" s="21">
        <v>16</v>
      </c>
      <c r="H283" s="72">
        <v>0</v>
      </c>
      <c r="I283" s="39"/>
    </row>
    <row r="284" spans="1:9" ht="12.25" customHeight="1" x14ac:dyDescent="0.3">
      <c r="A284" s="4"/>
      <c r="B284" s="13"/>
      <c r="C284" s="13"/>
      <c r="D284" s="67" t="s">
        <v>22</v>
      </c>
      <c r="E284" s="138"/>
      <c r="F284" s="138"/>
      <c r="G284" s="69">
        <v>16</v>
      </c>
      <c r="H284" s="35"/>
      <c r="I284" s="39"/>
    </row>
    <row r="285" spans="1:9" x14ac:dyDescent="0.3">
      <c r="A285" s="4" t="s">
        <v>147</v>
      </c>
      <c r="B285" s="13"/>
      <c r="C285" s="13" t="s">
        <v>1116</v>
      </c>
      <c r="D285" s="101" t="s">
        <v>1777</v>
      </c>
      <c r="E285" s="102"/>
      <c r="F285" s="13" t="s">
        <v>2391</v>
      </c>
      <c r="G285" s="21">
        <v>4</v>
      </c>
      <c r="H285" s="72">
        <v>0</v>
      </c>
      <c r="I285" s="39"/>
    </row>
    <row r="286" spans="1:9" ht="12.25" customHeight="1" x14ac:dyDescent="0.3">
      <c r="A286" s="4"/>
      <c r="B286" s="13"/>
      <c r="C286" s="13"/>
      <c r="D286" s="67" t="s">
        <v>10</v>
      </c>
      <c r="E286" s="138"/>
      <c r="F286" s="138"/>
      <c r="G286" s="69">
        <v>4</v>
      </c>
      <c r="H286" s="35"/>
      <c r="I286" s="39"/>
    </row>
    <row r="287" spans="1:9" x14ac:dyDescent="0.3">
      <c r="A287" s="4" t="s">
        <v>148</v>
      </c>
      <c r="B287" s="13"/>
      <c r="C287" s="13" t="s">
        <v>1117</v>
      </c>
      <c r="D287" s="101" t="s">
        <v>1778</v>
      </c>
      <c r="E287" s="102"/>
      <c r="F287" s="13" t="s">
        <v>2391</v>
      </c>
      <c r="G287" s="21">
        <v>12</v>
      </c>
      <c r="H287" s="72">
        <v>0</v>
      </c>
      <c r="I287" s="39"/>
    </row>
    <row r="288" spans="1:9" ht="12.25" customHeight="1" x14ac:dyDescent="0.3">
      <c r="A288" s="4"/>
      <c r="B288" s="13"/>
      <c r="C288" s="13"/>
      <c r="D288" s="67" t="s">
        <v>18</v>
      </c>
      <c r="E288" s="138"/>
      <c r="F288" s="138"/>
      <c r="G288" s="69">
        <v>12</v>
      </c>
      <c r="H288" s="35"/>
      <c r="I288" s="39"/>
    </row>
    <row r="289" spans="1:9" x14ac:dyDescent="0.3">
      <c r="A289" s="6" t="s">
        <v>149</v>
      </c>
      <c r="B289" s="15"/>
      <c r="C289" s="15" t="s">
        <v>1118</v>
      </c>
      <c r="D289" s="107" t="s">
        <v>1779</v>
      </c>
      <c r="E289" s="108"/>
      <c r="F289" s="15" t="s">
        <v>2391</v>
      </c>
      <c r="G289" s="22">
        <v>1</v>
      </c>
      <c r="H289" s="73">
        <v>0</v>
      </c>
      <c r="I289" s="39"/>
    </row>
    <row r="290" spans="1:9" ht="12.25" customHeight="1" x14ac:dyDescent="0.3">
      <c r="A290" s="6"/>
      <c r="B290" s="15"/>
      <c r="C290" s="15"/>
      <c r="D290" s="67" t="s">
        <v>7</v>
      </c>
      <c r="E290" s="138"/>
      <c r="F290" s="138"/>
      <c r="G290" s="70">
        <v>1</v>
      </c>
      <c r="H290" s="37"/>
      <c r="I290" s="39"/>
    </row>
    <row r="291" spans="1:9" x14ac:dyDescent="0.3">
      <c r="A291" s="6" t="s">
        <v>150</v>
      </c>
      <c r="B291" s="15"/>
      <c r="C291" s="15" t="s">
        <v>1119</v>
      </c>
      <c r="D291" s="107" t="s">
        <v>1780</v>
      </c>
      <c r="E291" s="108"/>
      <c r="F291" s="15" t="s">
        <v>2391</v>
      </c>
      <c r="G291" s="22">
        <v>16</v>
      </c>
      <c r="H291" s="73">
        <v>0</v>
      </c>
      <c r="I291" s="39"/>
    </row>
    <row r="292" spans="1:9" ht="12.25" customHeight="1" x14ac:dyDescent="0.3">
      <c r="A292" s="6"/>
      <c r="B292" s="15"/>
      <c r="C292" s="15"/>
      <c r="D292" s="67" t="s">
        <v>22</v>
      </c>
      <c r="E292" s="138"/>
      <c r="F292" s="138"/>
      <c r="G292" s="70">
        <v>16</v>
      </c>
      <c r="H292" s="37"/>
      <c r="I292" s="39"/>
    </row>
    <row r="293" spans="1:9" x14ac:dyDescent="0.3">
      <c r="A293" s="4" t="s">
        <v>151</v>
      </c>
      <c r="B293" s="13"/>
      <c r="C293" s="13" t="s">
        <v>1120</v>
      </c>
      <c r="D293" s="101" t="s">
        <v>1781</v>
      </c>
      <c r="E293" s="102"/>
      <c r="F293" s="13" t="s">
        <v>2392</v>
      </c>
      <c r="G293" s="21">
        <v>1</v>
      </c>
      <c r="H293" s="72">
        <v>0</v>
      </c>
      <c r="I293" s="39"/>
    </row>
    <row r="294" spans="1:9" ht="12.25" customHeight="1" x14ac:dyDescent="0.3">
      <c r="A294" s="4"/>
      <c r="B294" s="13"/>
      <c r="C294" s="13"/>
      <c r="D294" s="67" t="s">
        <v>7</v>
      </c>
      <c r="E294" s="138"/>
      <c r="F294" s="138"/>
      <c r="G294" s="69">
        <v>1</v>
      </c>
      <c r="H294" s="35"/>
      <c r="I294" s="39"/>
    </row>
    <row r="295" spans="1:9" x14ac:dyDescent="0.3">
      <c r="A295" s="4" t="s">
        <v>152</v>
      </c>
      <c r="B295" s="13"/>
      <c r="C295" s="13" t="s">
        <v>1120</v>
      </c>
      <c r="D295" s="101" t="s">
        <v>1782</v>
      </c>
      <c r="E295" s="102"/>
      <c r="F295" s="13" t="s">
        <v>2392</v>
      </c>
      <c r="G295" s="21">
        <v>1</v>
      </c>
      <c r="H295" s="72">
        <v>0</v>
      </c>
      <c r="I295" s="39"/>
    </row>
    <row r="296" spans="1:9" ht="12.25" customHeight="1" x14ac:dyDescent="0.3">
      <c r="A296" s="4"/>
      <c r="B296" s="13"/>
      <c r="C296" s="13"/>
      <c r="D296" s="67" t="s">
        <v>7</v>
      </c>
      <c r="E296" s="138"/>
      <c r="F296" s="138"/>
      <c r="G296" s="69">
        <v>1</v>
      </c>
      <c r="H296" s="35"/>
      <c r="I296" s="39"/>
    </row>
    <row r="297" spans="1:9" x14ac:dyDescent="0.3">
      <c r="A297" s="4" t="s">
        <v>153</v>
      </c>
      <c r="B297" s="13"/>
      <c r="C297" s="13" t="s">
        <v>1120</v>
      </c>
      <c r="D297" s="101" t="s">
        <v>1783</v>
      </c>
      <c r="E297" s="102"/>
      <c r="F297" s="13" t="s">
        <v>2392</v>
      </c>
      <c r="G297" s="21">
        <v>1</v>
      </c>
      <c r="H297" s="72">
        <v>0</v>
      </c>
      <c r="I297" s="39"/>
    </row>
    <row r="298" spans="1:9" ht="12.25" customHeight="1" x14ac:dyDescent="0.3">
      <c r="A298" s="4"/>
      <c r="B298" s="13"/>
      <c r="C298" s="13"/>
      <c r="D298" s="67" t="s">
        <v>7</v>
      </c>
      <c r="E298" s="138"/>
      <c r="F298" s="138"/>
      <c r="G298" s="69">
        <v>1</v>
      </c>
      <c r="H298" s="35"/>
      <c r="I298" s="39"/>
    </row>
    <row r="299" spans="1:9" x14ac:dyDescent="0.3">
      <c r="A299" s="4" t="s">
        <v>154</v>
      </c>
      <c r="B299" s="13"/>
      <c r="C299" s="13" t="s">
        <v>1121</v>
      </c>
      <c r="D299" s="101" t="s">
        <v>1784</v>
      </c>
      <c r="E299" s="102"/>
      <c r="F299" s="13" t="s">
        <v>2392</v>
      </c>
      <c r="G299" s="21">
        <v>1</v>
      </c>
      <c r="H299" s="72">
        <v>0</v>
      </c>
      <c r="I299" s="39"/>
    </row>
    <row r="300" spans="1:9" ht="12.25" customHeight="1" x14ac:dyDescent="0.3">
      <c r="A300" s="4"/>
      <c r="B300" s="13"/>
      <c r="C300" s="13"/>
      <c r="D300" s="67" t="s">
        <v>7</v>
      </c>
      <c r="E300" s="138"/>
      <c r="F300" s="138"/>
      <c r="G300" s="69">
        <v>1</v>
      </c>
      <c r="H300" s="35"/>
      <c r="I300" s="39"/>
    </row>
    <row r="301" spans="1:9" x14ac:dyDescent="0.3">
      <c r="A301" s="4" t="s">
        <v>155</v>
      </c>
      <c r="B301" s="13"/>
      <c r="C301" s="13" t="s">
        <v>1122</v>
      </c>
      <c r="D301" s="101" t="s">
        <v>1785</v>
      </c>
      <c r="E301" s="102"/>
      <c r="F301" s="13" t="s">
        <v>2392</v>
      </c>
      <c r="G301" s="21">
        <v>14</v>
      </c>
      <c r="H301" s="72">
        <v>0</v>
      </c>
      <c r="I301" s="39"/>
    </row>
    <row r="302" spans="1:9" ht="12.25" customHeight="1" x14ac:dyDescent="0.3">
      <c r="A302" s="4"/>
      <c r="B302" s="13"/>
      <c r="C302" s="13"/>
      <c r="D302" s="67" t="s">
        <v>20</v>
      </c>
      <c r="E302" s="138"/>
      <c r="F302" s="138"/>
      <c r="G302" s="69">
        <v>14</v>
      </c>
      <c r="H302" s="35"/>
      <c r="I302" s="39"/>
    </row>
    <row r="303" spans="1:9" x14ac:dyDescent="0.3">
      <c r="A303" s="4" t="s">
        <v>156</v>
      </c>
      <c r="B303" s="13"/>
      <c r="C303" s="13" t="s">
        <v>1123</v>
      </c>
      <c r="D303" s="101" t="s">
        <v>1786</v>
      </c>
      <c r="E303" s="102"/>
      <c r="F303" s="13" t="s">
        <v>2392</v>
      </c>
      <c r="G303" s="21">
        <v>4</v>
      </c>
      <c r="H303" s="72">
        <v>0</v>
      </c>
      <c r="I303" s="39"/>
    </row>
    <row r="304" spans="1:9" ht="12.25" customHeight="1" x14ac:dyDescent="0.3">
      <c r="A304" s="4"/>
      <c r="B304" s="13"/>
      <c r="C304" s="13"/>
      <c r="D304" s="67" t="s">
        <v>10</v>
      </c>
      <c r="E304" s="138"/>
      <c r="F304" s="138"/>
      <c r="G304" s="69">
        <v>4</v>
      </c>
      <c r="H304" s="35"/>
      <c r="I304" s="39"/>
    </row>
    <row r="305" spans="1:9" x14ac:dyDescent="0.3">
      <c r="A305" s="4" t="s">
        <v>157</v>
      </c>
      <c r="B305" s="13"/>
      <c r="C305" s="13" t="s">
        <v>1122</v>
      </c>
      <c r="D305" s="101" t="s">
        <v>1787</v>
      </c>
      <c r="E305" s="102"/>
      <c r="F305" s="13" t="s">
        <v>2392</v>
      </c>
      <c r="G305" s="21">
        <v>8</v>
      </c>
      <c r="H305" s="72">
        <v>0</v>
      </c>
      <c r="I305" s="39"/>
    </row>
    <row r="306" spans="1:9" ht="12.25" customHeight="1" x14ac:dyDescent="0.3">
      <c r="A306" s="4"/>
      <c r="B306" s="13"/>
      <c r="C306" s="13"/>
      <c r="D306" s="67" t="s">
        <v>14</v>
      </c>
      <c r="E306" s="138"/>
      <c r="F306" s="138"/>
      <c r="G306" s="69">
        <v>8</v>
      </c>
      <c r="H306" s="35"/>
      <c r="I306" s="39"/>
    </row>
    <row r="307" spans="1:9" x14ac:dyDescent="0.3">
      <c r="A307" s="4" t="s">
        <v>158</v>
      </c>
      <c r="B307" s="13"/>
      <c r="C307" s="13" t="s">
        <v>1124</v>
      </c>
      <c r="D307" s="101" t="s">
        <v>1788</v>
      </c>
      <c r="E307" s="102"/>
      <c r="F307" s="13" t="s">
        <v>2392</v>
      </c>
      <c r="G307" s="21">
        <v>2</v>
      </c>
      <c r="H307" s="72">
        <v>0</v>
      </c>
      <c r="I307" s="39"/>
    </row>
    <row r="308" spans="1:9" ht="12.25" customHeight="1" x14ac:dyDescent="0.3">
      <c r="A308" s="4"/>
      <c r="B308" s="13"/>
      <c r="C308" s="13"/>
      <c r="D308" s="67" t="s">
        <v>8</v>
      </c>
      <c r="E308" s="138"/>
      <c r="F308" s="138"/>
      <c r="G308" s="69">
        <v>2</v>
      </c>
      <c r="H308" s="35"/>
      <c r="I308" s="39"/>
    </row>
    <row r="309" spans="1:9" x14ac:dyDescent="0.3">
      <c r="A309" s="4" t="s">
        <v>159</v>
      </c>
      <c r="B309" s="13"/>
      <c r="C309" s="13" t="s">
        <v>1123</v>
      </c>
      <c r="D309" s="101" t="s">
        <v>1789</v>
      </c>
      <c r="E309" s="102"/>
      <c r="F309" s="13" t="s">
        <v>2392</v>
      </c>
      <c r="G309" s="21">
        <v>1</v>
      </c>
      <c r="H309" s="72">
        <v>0</v>
      </c>
      <c r="I309" s="39"/>
    </row>
    <row r="310" spans="1:9" ht="12.25" customHeight="1" x14ac:dyDescent="0.3">
      <c r="A310" s="4"/>
      <c r="B310" s="13"/>
      <c r="C310" s="13"/>
      <c r="D310" s="67" t="s">
        <v>7</v>
      </c>
      <c r="E310" s="138"/>
      <c r="F310" s="138"/>
      <c r="G310" s="69">
        <v>1</v>
      </c>
      <c r="H310" s="35"/>
      <c r="I310" s="39"/>
    </row>
    <row r="311" spans="1:9" x14ac:dyDescent="0.3">
      <c r="A311" s="4" t="s">
        <v>160</v>
      </c>
      <c r="B311" s="13"/>
      <c r="C311" s="13" t="s">
        <v>1122</v>
      </c>
      <c r="D311" s="101" t="s">
        <v>1790</v>
      </c>
      <c r="E311" s="102"/>
      <c r="F311" s="13" t="s">
        <v>2392</v>
      </c>
      <c r="G311" s="21">
        <v>1</v>
      </c>
      <c r="H311" s="72">
        <v>0</v>
      </c>
      <c r="I311" s="39"/>
    </row>
    <row r="312" spans="1:9" ht="12.25" customHeight="1" x14ac:dyDescent="0.3">
      <c r="A312" s="4"/>
      <c r="B312" s="13"/>
      <c r="C312" s="13"/>
      <c r="D312" s="67" t="s">
        <v>7</v>
      </c>
      <c r="E312" s="138"/>
      <c r="F312" s="138"/>
      <c r="G312" s="69">
        <v>1</v>
      </c>
      <c r="H312" s="35"/>
      <c r="I312" s="39"/>
    </row>
    <row r="313" spans="1:9" x14ac:dyDescent="0.3">
      <c r="A313" s="4" t="s">
        <v>161</v>
      </c>
      <c r="B313" s="13"/>
      <c r="C313" s="13" t="s">
        <v>1125</v>
      </c>
      <c r="D313" s="101" t="s">
        <v>1791</v>
      </c>
      <c r="E313" s="102"/>
      <c r="F313" s="13" t="s">
        <v>2392</v>
      </c>
      <c r="G313" s="21">
        <v>19</v>
      </c>
      <c r="H313" s="72">
        <v>0</v>
      </c>
      <c r="I313" s="39"/>
    </row>
    <row r="314" spans="1:9" ht="12.25" customHeight="1" x14ac:dyDescent="0.3">
      <c r="A314" s="4"/>
      <c r="B314" s="13"/>
      <c r="C314" s="13"/>
      <c r="D314" s="67" t="s">
        <v>2595</v>
      </c>
      <c r="E314" s="138"/>
      <c r="F314" s="138"/>
      <c r="G314" s="69">
        <v>19</v>
      </c>
      <c r="H314" s="35"/>
      <c r="I314" s="39"/>
    </row>
    <row r="315" spans="1:9" x14ac:dyDescent="0.3">
      <c r="A315" s="4" t="s">
        <v>162</v>
      </c>
      <c r="B315" s="13"/>
      <c r="C315" s="13" t="s">
        <v>1126</v>
      </c>
      <c r="D315" s="101" t="s">
        <v>1792</v>
      </c>
      <c r="E315" s="102"/>
      <c r="F315" s="13" t="s">
        <v>2392</v>
      </c>
      <c r="G315" s="21">
        <v>12</v>
      </c>
      <c r="H315" s="72">
        <v>0</v>
      </c>
      <c r="I315" s="39"/>
    </row>
    <row r="316" spans="1:9" ht="12.25" customHeight="1" x14ac:dyDescent="0.3">
      <c r="A316" s="4"/>
      <c r="B316" s="13"/>
      <c r="C316" s="13"/>
      <c r="D316" s="67" t="s">
        <v>18</v>
      </c>
      <c r="E316" s="138"/>
      <c r="F316" s="138"/>
      <c r="G316" s="69">
        <v>12</v>
      </c>
      <c r="H316" s="35"/>
      <c r="I316" s="39"/>
    </row>
    <row r="317" spans="1:9" x14ac:dyDescent="0.3">
      <c r="A317" s="4" t="s">
        <v>163</v>
      </c>
      <c r="B317" s="13"/>
      <c r="C317" s="13" t="s">
        <v>1127</v>
      </c>
      <c r="D317" s="101" t="s">
        <v>1793</v>
      </c>
      <c r="E317" s="102"/>
      <c r="F317" s="13" t="s">
        <v>2392</v>
      </c>
      <c r="G317" s="21">
        <v>1</v>
      </c>
      <c r="H317" s="72">
        <v>0</v>
      </c>
      <c r="I317" s="39"/>
    </row>
    <row r="318" spans="1:9" ht="12.25" customHeight="1" x14ac:dyDescent="0.3">
      <c r="A318" s="4"/>
      <c r="B318" s="13"/>
      <c r="C318" s="13"/>
      <c r="D318" s="67" t="s">
        <v>7</v>
      </c>
      <c r="E318" s="138"/>
      <c r="F318" s="138"/>
      <c r="G318" s="69">
        <v>1</v>
      </c>
      <c r="H318" s="35"/>
      <c r="I318" s="39"/>
    </row>
    <row r="319" spans="1:9" x14ac:dyDescent="0.3">
      <c r="A319" s="6" t="s">
        <v>164</v>
      </c>
      <c r="B319" s="15"/>
      <c r="C319" s="15" t="s">
        <v>1128</v>
      </c>
      <c r="D319" s="107" t="s">
        <v>1794</v>
      </c>
      <c r="E319" s="108"/>
      <c r="F319" s="15" t="s">
        <v>2391</v>
      </c>
      <c r="G319" s="22">
        <v>12</v>
      </c>
      <c r="H319" s="73">
        <v>0</v>
      </c>
      <c r="I319" s="39"/>
    </row>
    <row r="320" spans="1:9" ht="12.25" customHeight="1" x14ac:dyDescent="0.3">
      <c r="A320" s="6"/>
      <c r="B320" s="15"/>
      <c r="C320" s="15"/>
      <c r="D320" s="67" t="s">
        <v>18</v>
      </c>
      <c r="E320" s="138"/>
      <c r="F320" s="138"/>
      <c r="G320" s="70">
        <v>12</v>
      </c>
      <c r="H320" s="37"/>
      <c r="I320" s="39"/>
    </row>
    <row r="321" spans="1:9" x14ac:dyDescent="0.3">
      <c r="A321" s="6" t="s">
        <v>165</v>
      </c>
      <c r="B321" s="15"/>
      <c r="C321" s="15" t="s">
        <v>1119</v>
      </c>
      <c r="D321" s="107" t="s">
        <v>1795</v>
      </c>
      <c r="E321" s="108"/>
      <c r="F321" s="15" t="s">
        <v>2391</v>
      </c>
      <c r="G321" s="22">
        <v>10</v>
      </c>
      <c r="H321" s="73">
        <v>0</v>
      </c>
      <c r="I321" s="39"/>
    </row>
    <row r="322" spans="1:9" ht="12.25" customHeight="1" x14ac:dyDescent="0.3">
      <c r="A322" s="6"/>
      <c r="B322" s="15"/>
      <c r="C322" s="15"/>
      <c r="D322" s="67" t="s">
        <v>16</v>
      </c>
      <c r="E322" s="138"/>
      <c r="F322" s="138"/>
      <c r="G322" s="70">
        <v>10</v>
      </c>
      <c r="H322" s="37"/>
      <c r="I322" s="39"/>
    </row>
    <row r="323" spans="1:9" x14ac:dyDescent="0.3">
      <c r="A323" s="6" t="s">
        <v>166</v>
      </c>
      <c r="B323" s="15"/>
      <c r="C323" s="15" t="s">
        <v>1119</v>
      </c>
      <c r="D323" s="107" t="s">
        <v>1796</v>
      </c>
      <c r="E323" s="108"/>
      <c r="F323" s="15" t="s">
        <v>2391</v>
      </c>
      <c r="G323" s="22">
        <v>1</v>
      </c>
      <c r="H323" s="73">
        <v>0</v>
      </c>
      <c r="I323" s="39"/>
    </row>
    <row r="324" spans="1:9" ht="12.25" customHeight="1" x14ac:dyDescent="0.3">
      <c r="A324" s="6"/>
      <c r="B324" s="15"/>
      <c r="C324" s="15"/>
      <c r="D324" s="67" t="s">
        <v>7</v>
      </c>
      <c r="E324" s="138"/>
      <c r="F324" s="138"/>
      <c r="G324" s="70">
        <v>1</v>
      </c>
      <c r="H324" s="37"/>
      <c r="I324" s="39"/>
    </row>
    <row r="325" spans="1:9" x14ac:dyDescent="0.3">
      <c r="A325" s="6" t="s">
        <v>167</v>
      </c>
      <c r="B325" s="15"/>
      <c r="C325" s="15" t="s">
        <v>1119</v>
      </c>
      <c r="D325" s="107" t="s">
        <v>1797</v>
      </c>
      <c r="E325" s="108"/>
      <c r="F325" s="15" t="s">
        <v>2391</v>
      </c>
      <c r="G325" s="22">
        <v>2</v>
      </c>
      <c r="H325" s="73">
        <v>0</v>
      </c>
      <c r="I325" s="39"/>
    </row>
    <row r="326" spans="1:9" ht="12.25" customHeight="1" x14ac:dyDescent="0.3">
      <c r="A326" s="6"/>
      <c r="B326" s="15"/>
      <c r="C326" s="15"/>
      <c r="D326" s="67" t="s">
        <v>8</v>
      </c>
      <c r="E326" s="138"/>
      <c r="F326" s="138"/>
      <c r="G326" s="70">
        <v>2</v>
      </c>
      <c r="H326" s="37"/>
      <c r="I326" s="39"/>
    </row>
    <row r="327" spans="1:9" x14ac:dyDescent="0.3">
      <c r="A327" s="6" t="s">
        <v>168</v>
      </c>
      <c r="B327" s="15"/>
      <c r="C327" s="15" t="s">
        <v>1119</v>
      </c>
      <c r="D327" s="107" t="s">
        <v>1798</v>
      </c>
      <c r="E327" s="108"/>
      <c r="F327" s="15" t="s">
        <v>2391</v>
      </c>
      <c r="G327" s="22">
        <v>8</v>
      </c>
      <c r="H327" s="73">
        <v>0</v>
      </c>
      <c r="I327" s="39"/>
    </row>
    <row r="328" spans="1:9" ht="12.25" customHeight="1" x14ac:dyDescent="0.3">
      <c r="A328" s="6"/>
      <c r="B328" s="15"/>
      <c r="C328" s="15"/>
      <c r="D328" s="67" t="s">
        <v>14</v>
      </c>
      <c r="E328" s="138"/>
      <c r="F328" s="138"/>
      <c r="G328" s="70">
        <v>8</v>
      </c>
      <c r="H328" s="37"/>
      <c r="I328" s="39"/>
    </row>
    <row r="329" spans="1:9" x14ac:dyDescent="0.3">
      <c r="A329" s="6" t="s">
        <v>169</v>
      </c>
      <c r="B329" s="15"/>
      <c r="C329" s="15" t="s">
        <v>1129</v>
      </c>
      <c r="D329" s="107" t="s">
        <v>1799</v>
      </c>
      <c r="E329" s="108"/>
      <c r="F329" s="15" t="s">
        <v>2391</v>
      </c>
      <c r="G329" s="22">
        <v>4</v>
      </c>
      <c r="H329" s="73">
        <v>0</v>
      </c>
      <c r="I329" s="39"/>
    </row>
    <row r="330" spans="1:9" ht="12.25" customHeight="1" x14ac:dyDescent="0.3">
      <c r="A330" s="6"/>
      <c r="B330" s="15"/>
      <c r="C330" s="15"/>
      <c r="D330" s="67" t="s">
        <v>10</v>
      </c>
      <c r="E330" s="138"/>
      <c r="F330" s="138"/>
      <c r="G330" s="70">
        <v>4</v>
      </c>
      <c r="H330" s="37"/>
      <c r="I330" s="39"/>
    </row>
    <row r="331" spans="1:9" x14ac:dyDescent="0.3">
      <c r="A331" s="6" t="s">
        <v>170</v>
      </c>
      <c r="B331" s="15"/>
      <c r="C331" s="15" t="s">
        <v>1130</v>
      </c>
      <c r="D331" s="107" t="s">
        <v>1800</v>
      </c>
      <c r="E331" s="108"/>
      <c r="F331" s="15" t="s">
        <v>2391</v>
      </c>
      <c r="G331" s="22">
        <v>1</v>
      </c>
      <c r="H331" s="73">
        <v>0</v>
      </c>
      <c r="I331" s="39"/>
    </row>
    <row r="332" spans="1:9" ht="12.25" customHeight="1" x14ac:dyDescent="0.3">
      <c r="A332" s="6"/>
      <c r="B332" s="15"/>
      <c r="C332" s="15"/>
      <c r="D332" s="67" t="s">
        <v>7</v>
      </c>
      <c r="E332" s="138"/>
      <c r="F332" s="138"/>
      <c r="G332" s="70">
        <v>1</v>
      </c>
      <c r="H332" s="37"/>
      <c r="I332" s="39"/>
    </row>
    <row r="333" spans="1:9" x14ac:dyDescent="0.3">
      <c r="A333" s="6" t="s">
        <v>171</v>
      </c>
      <c r="B333" s="15"/>
      <c r="C333" s="15" t="s">
        <v>1131</v>
      </c>
      <c r="D333" s="107" t="s">
        <v>1801</v>
      </c>
      <c r="E333" s="108"/>
      <c r="F333" s="15" t="s">
        <v>2393</v>
      </c>
      <c r="G333" s="22">
        <v>18</v>
      </c>
      <c r="H333" s="73">
        <v>0</v>
      </c>
      <c r="I333" s="39"/>
    </row>
    <row r="334" spans="1:9" ht="12.25" customHeight="1" x14ac:dyDescent="0.3">
      <c r="A334" s="6"/>
      <c r="B334" s="15"/>
      <c r="C334" s="15"/>
      <c r="D334" s="67" t="s">
        <v>24</v>
      </c>
      <c r="E334" s="138"/>
      <c r="F334" s="138"/>
      <c r="G334" s="70">
        <v>18</v>
      </c>
      <c r="H334" s="37"/>
      <c r="I334" s="39"/>
    </row>
    <row r="335" spans="1:9" x14ac:dyDescent="0.3">
      <c r="A335" s="4" t="s">
        <v>172</v>
      </c>
      <c r="B335" s="13"/>
      <c r="C335" s="13" t="s">
        <v>1132</v>
      </c>
      <c r="D335" s="101" t="s">
        <v>1802</v>
      </c>
      <c r="E335" s="102"/>
      <c r="F335" s="13" t="s">
        <v>2390</v>
      </c>
      <c r="G335" s="21">
        <v>1</v>
      </c>
      <c r="H335" s="72">
        <v>0</v>
      </c>
      <c r="I335" s="39"/>
    </row>
    <row r="336" spans="1:9" ht="12.25" customHeight="1" x14ac:dyDescent="0.3">
      <c r="A336" s="4"/>
      <c r="B336" s="13"/>
      <c r="C336" s="13"/>
      <c r="D336" s="67" t="s">
        <v>7</v>
      </c>
      <c r="E336" s="138"/>
      <c r="F336" s="138"/>
      <c r="G336" s="69">
        <v>1</v>
      </c>
      <c r="H336" s="35"/>
      <c r="I336" s="39"/>
    </row>
    <row r="337" spans="1:9" x14ac:dyDescent="0.3">
      <c r="A337" s="6" t="s">
        <v>173</v>
      </c>
      <c r="B337" s="15"/>
      <c r="C337" s="15" t="s">
        <v>1133</v>
      </c>
      <c r="D337" s="107" t="s">
        <v>1803</v>
      </c>
      <c r="E337" s="108"/>
      <c r="F337" s="15" t="s">
        <v>2391</v>
      </c>
      <c r="G337" s="22">
        <v>3</v>
      </c>
      <c r="H337" s="73">
        <v>0</v>
      </c>
      <c r="I337" s="39"/>
    </row>
    <row r="338" spans="1:9" ht="12.25" customHeight="1" x14ac:dyDescent="0.3">
      <c r="A338" s="6"/>
      <c r="B338" s="15"/>
      <c r="C338" s="15"/>
      <c r="D338" s="67" t="s">
        <v>9</v>
      </c>
      <c r="E338" s="138"/>
      <c r="F338" s="138"/>
      <c r="G338" s="70">
        <v>3</v>
      </c>
      <c r="H338" s="37"/>
      <c r="I338" s="39"/>
    </row>
    <row r="339" spans="1:9" x14ac:dyDescent="0.3">
      <c r="A339" s="6" t="s">
        <v>174</v>
      </c>
      <c r="B339" s="15"/>
      <c r="C339" s="15" t="s">
        <v>1134</v>
      </c>
      <c r="D339" s="107" t="s">
        <v>1804</v>
      </c>
      <c r="E339" s="108"/>
      <c r="F339" s="15" t="s">
        <v>2391</v>
      </c>
      <c r="G339" s="22">
        <v>1</v>
      </c>
      <c r="H339" s="73">
        <v>0</v>
      </c>
      <c r="I339" s="39"/>
    </row>
    <row r="340" spans="1:9" ht="12.25" customHeight="1" x14ac:dyDescent="0.3">
      <c r="A340" s="6"/>
      <c r="B340" s="15"/>
      <c r="C340" s="15"/>
      <c r="D340" s="67" t="s">
        <v>7</v>
      </c>
      <c r="E340" s="138"/>
      <c r="F340" s="138"/>
      <c r="G340" s="70">
        <v>1</v>
      </c>
      <c r="H340" s="37"/>
      <c r="I340" s="39"/>
    </row>
    <row r="341" spans="1:9" x14ac:dyDescent="0.3">
      <c r="A341" s="66"/>
      <c r="B341" s="14"/>
      <c r="C341" s="14" t="s">
        <v>728</v>
      </c>
      <c r="D341" s="103" t="s">
        <v>1805</v>
      </c>
      <c r="E341" s="104"/>
      <c r="F341" s="14"/>
      <c r="G341" s="31"/>
      <c r="H341" s="36"/>
      <c r="I341" s="39"/>
    </row>
    <row r="342" spans="1:9" x14ac:dyDescent="0.3">
      <c r="A342" s="4" t="s">
        <v>175</v>
      </c>
      <c r="B342" s="13"/>
      <c r="C342" s="13" t="s">
        <v>1135</v>
      </c>
      <c r="D342" s="101" t="s">
        <v>1806</v>
      </c>
      <c r="E342" s="102"/>
      <c r="F342" s="13" t="s">
        <v>2392</v>
      </c>
      <c r="G342" s="21">
        <v>19</v>
      </c>
      <c r="H342" s="72">
        <v>0</v>
      </c>
      <c r="I342" s="39"/>
    </row>
    <row r="343" spans="1:9" ht="12.25" customHeight="1" x14ac:dyDescent="0.3">
      <c r="A343" s="4"/>
      <c r="B343" s="13"/>
      <c r="C343" s="13"/>
      <c r="D343" s="67" t="s">
        <v>24</v>
      </c>
      <c r="E343" s="138"/>
      <c r="F343" s="138"/>
      <c r="G343" s="69">
        <v>18</v>
      </c>
      <c r="H343" s="35"/>
      <c r="I343" s="39"/>
    </row>
    <row r="344" spans="1:9" ht="12.25" customHeight="1" x14ac:dyDescent="0.3">
      <c r="A344" s="4"/>
      <c r="B344" s="13"/>
      <c r="C344" s="13"/>
      <c r="D344" s="67" t="s">
        <v>7</v>
      </c>
      <c r="E344" s="138"/>
      <c r="F344" s="138"/>
      <c r="G344" s="69">
        <v>1</v>
      </c>
      <c r="H344" s="35"/>
      <c r="I344" s="39"/>
    </row>
    <row r="345" spans="1:9" x14ac:dyDescent="0.3">
      <c r="A345" s="66"/>
      <c r="B345" s="14"/>
      <c r="C345" s="14" t="s">
        <v>730</v>
      </c>
      <c r="D345" s="103" t="s">
        <v>1807</v>
      </c>
      <c r="E345" s="104"/>
      <c r="F345" s="14"/>
      <c r="G345" s="31"/>
      <c r="H345" s="36"/>
      <c r="I345" s="39"/>
    </row>
    <row r="346" spans="1:9" x14ac:dyDescent="0.3">
      <c r="A346" s="4" t="s">
        <v>176</v>
      </c>
      <c r="B346" s="13"/>
      <c r="C346" s="13" t="s">
        <v>1136</v>
      </c>
      <c r="D346" s="101" t="s">
        <v>1808</v>
      </c>
      <c r="E346" s="102"/>
      <c r="F346" s="13" t="s">
        <v>2384</v>
      </c>
      <c r="G346" s="21">
        <v>1</v>
      </c>
      <c r="H346" s="72">
        <v>0</v>
      </c>
      <c r="I346" s="39"/>
    </row>
    <row r="347" spans="1:9" x14ac:dyDescent="0.3">
      <c r="A347" s="4" t="s">
        <v>177</v>
      </c>
      <c r="B347" s="13"/>
      <c r="C347" s="13" t="s">
        <v>1136</v>
      </c>
      <c r="D347" s="101" t="s">
        <v>1809</v>
      </c>
      <c r="E347" s="102"/>
      <c r="F347" s="13" t="s">
        <v>2384</v>
      </c>
      <c r="G347" s="21">
        <v>1</v>
      </c>
      <c r="H347" s="72">
        <v>0</v>
      </c>
      <c r="I347" s="39"/>
    </row>
    <row r="348" spans="1:9" x14ac:dyDescent="0.3">
      <c r="A348" s="4" t="s">
        <v>178</v>
      </c>
      <c r="B348" s="13"/>
      <c r="C348" s="13" t="s">
        <v>1136</v>
      </c>
      <c r="D348" s="101" t="s">
        <v>1810</v>
      </c>
      <c r="E348" s="102"/>
      <c r="F348" s="13" t="s">
        <v>2384</v>
      </c>
      <c r="G348" s="21">
        <v>1</v>
      </c>
      <c r="H348" s="72">
        <v>0</v>
      </c>
      <c r="I348" s="39"/>
    </row>
    <row r="349" spans="1:9" x14ac:dyDescent="0.3">
      <c r="A349" s="4" t="s">
        <v>179</v>
      </c>
      <c r="B349" s="13"/>
      <c r="C349" s="13" t="s">
        <v>1136</v>
      </c>
      <c r="D349" s="101" t="s">
        <v>1811</v>
      </c>
      <c r="E349" s="102"/>
      <c r="F349" s="13" t="s">
        <v>2384</v>
      </c>
      <c r="G349" s="21">
        <v>4</v>
      </c>
      <c r="H349" s="72">
        <v>0</v>
      </c>
      <c r="I349" s="39"/>
    </row>
    <row r="350" spans="1:9" x14ac:dyDescent="0.3">
      <c r="A350" s="4" t="s">
        <v>180</v>
      </c>
      <c r="B350" s="13"/>
      <c r="C350" s="13" t="s">
        <v>1136</v>
      </c>
      <c r="D350" s="101" t="s">
        <v>1812</v>
      </c>
      <c r="E350" s="102"/>
      <c r="F350" s="13" t="s">
        <v>2384</v>
      </c>
      <c r="G350" s="21">
        <v>1</v>
      </c>
      <c r="H350" s="72">
        <v>0</v>
      </c>
      <c r="I350" s="39"/>
    </row>
    <row r="351" spans="1:9" x14ac:dyDescent="0.3">
      <c r="A351" s="4" t="s">
        <v>181</v>
      </c>
      <c r="B351" s="13"/>
      <c r="C351" s="13" t="s">
        <v>1136</v>
      </c>
      <c r="D351" s="101" t="s">
        <v>1813</v>
      </c>
      <c r="E351" s="102"/>
      <c r="F351" s="13" t="s">
        <v>2384</v>
      </c>
      <c r="G351" s="21">
        <v>1</v>
      </c>
      <c r="H351" s="72">
        <v>0</v>
      </c>
      <c r="I351" s="39"/>
    </row>
    <row r="352" spans="1:9" x14ac:dyDescent="0.3">
      <c r="A352" s="4" t="s">
        <v>182</v>
      </c>
      <c r="B352" s="13"/>
      <c r="C352" s="13" t="s">
        <v>1136</v>
      </c>
      <c r="D352" s="101" t="s">
        <v>1812</v>
      </c>
      <c r="E352" s="102"/>
      <c r="F352" s="13" t="s">
        <v>2384</v>
      </c>
      <c r="G352" s="21">
        <v>1</v>
      </c>
      <c r="H352" s="72">
        <v>0</v>
      </c>
      <c r="I352" s="39"/>
    </row>
    <row r="353" spans="1:9" x14ac:dyDescent="0.3">
      <c r="A353" s="4" t="s">
        <v>183</v>
      </c>
      <c r="B353" s="13"/>
      <c r="C353" s="13" t="s">
        <v>1136</v>
      </c>
      <c r="D353" s="101" t="s">
        <v>1813</v>
      </c>
      <c r="E353" s="102"/>
      <c r="F353" s="13" t="s">
        <v>2384</v>
      </c>
      <c r="G353" s="21">
        <v>1</v>
      </c>
      <c r="H353" s="72">
        <v>0</v>
      </c>
      <c r="I353" s="39"/>
    </row>
    <row r="354" spans="1:9" x14ac:dyDescent="0.3">
      <c r="A354" s="4" t="s">
        <v>184</v>
      </c>
      <c r="B354" s="13"/>
      <c r="C354" s="13" t="s">
        <v>1136</v>
      </c>
      <c r="D354" s="101" t="s">
        <v>1812</v>
      </c>
      <c r="E354" s="102"/>
      <c r="F354" s="13" t="s">
        <v>2384</v>
      </c>
      <c r="G354" s="21">
        <v>1</v>
      </c>
      <c r="H354" s="72">
        <v>0</v>
      </c>
      <c r="I354" s="39"/>
    </row>
    <row r="355" spans="1:9" x14ac:dyDescent="0.3">
      <c r="A355" s="4" t="s">
        <v>185</v>
      </c>
      <c r="B355" s="13"/>
      <c r="C355" s="13" t="s">
        <v>1136</v>
      </c>
      <c r="D355" s="101" t="s">
        <v>1813</v>
      </c>
      <c r="E355" s="102"/>
      <c r="F355" s="13" t="s">
        <v>2384</v>
      </c>
      <c r="G355" s="21">
        <v>1</v>
      </c>
      <c r="H355" s="72">
        <v>0</v>
      </c>
      <c r="I355" s="39"/>
    </row>
    <row r="356" spans="1:9" x14ac:dyDescent="0.3">
      <c r="A356" s="4" t="s">
        <v>186</v>
      </c>
      <c r="B356" s="13"/>
      <c r="C356" s="13" t="s">
        <v>1136</v>
      </c>
      <c r="D356" s="101" t="s">
        <v>1812</v>
      </c>
      <c r="E356" s="102"/>
      <c r="F356" s="13" t="s">
        <v>2384</v>
      </c>
      <c r="G356" s="21">
        <v>1</v>
      </c>
      <c r="H356" s="72">
        <v>0</v>
      </c>
      <c r="I356" s="39"/>
    </row>
    <row r="357" spans="1:9" x14ac:dyDescent="0.3">
      <c r="A357" s="4" t="s">
        <v>187</v>
      </c>
      <c r="B357" s="13"/>
      <c r="C357" s="13" t="s">
        <v>1136</v>
      </c>
      <c r="D357" s="101" t="s">
        <v>1814</v>
      </c>
      <c r="E357" s="102"/>
      <c r="F357" s="13" t="s">
        <v>2384</v>
      </c>
      <c r="G357" s="21">
        <v>1</v>
      </c>
      <c r="H357" s="72">
        <v>0</v>
      </c>
      <c r="I357" s="39"/>
    </row>
    <row r="358" spans="1:9" x14ac:dyDescent="0.3">
      <c r="A358" s="4" t="s">
        <v>188</v>
      </c>
      <c r="B358" s="13"/>
      <c r="C358" s="13" t="s">
        <v>1136</v>
      </c>
      <c r="D358" s="101" t="s">
        <v>1815</v>
      </c>
      <c r="E358" s="102"/>
      <c r="F358" s="13" t="s">
        <v>2384</v>
      </c>
      <c r="G358" s="21">
        <v>1</v>
      </c>
      <c r="H358" s="72">
        <v>0</v>
      </c>
      <c r="I358" s="39"/>
    </row>
    <row r="359" spans="1:9" x14ac:dyDescent="0.3">
      <c r="A359" s="4" t="s">
        <v>189</v>
      </c>
      <c r="B359" s="13"/>
      <c r="C359" s="13" t="s">
        <v>1136</v>
      </c>
      <c r="D359" s="101" t="s">
        <v>1815</v>
      </c>
      <c r="E359" s="102"/>
      <c r="F359" s="13" t="s">
        <v>2384</v>
      </c>
      <c r="G359" s="21">
        <v>1</v>
      </c>
      <c r="H359" s="72">
        <v>0</v>
      </c>
      <c r="I359" s="39"/>
    </row>
    <row r="360" spans="1:9" x14ac:dyDescent="0.3">
      <c r="A360" s="4" t="s">
        <v>190</v>
      </c>
      <c r="B360" s="13"/>
      <c r="C360" s="13" t="s">
        <v>1136</v>
      </c>
      <c r="D360" s="101" t="s">
        <v>1815</v>
      </c>
      <c r="E360" s="102"/>
      <c r="F360" s="13" t="s">
        <v>2384</v>
      </c>
      <c r="G360" s="21">
        <v>1</v>
      </c>
      <c r="H360" s="72">
        <v>0</v>
      </c>
      <c r="I360" s="39"/>
    </row>
    <row r="361" spans="1:9" x14ac:dyDescent="0.3">
      <c r="A361" s="4" t="s">
        <v>191</v>
      </c>
      <c r="B361" s="13"/>
      <c r="C361" s="13" t="s">
        <v>1136</v>
      </c>
      <c r="D361" s="101" t="s">
        <v>1814</v>
      </c>
      <c r="E361" s="102"/>
      <c r="F361" s="13" t="s">
        <v>2384</v>
      </c>
      <c r="G361" s="21">
        <v>1</v>
      </c>
      <c r="H361" s="72">
        <v>0</v>
      </c>
      <c r="I361" s="39"/>
    </row>
    <row r="362" spans="1:9" x14ac:dyDescent="0.3">
      <c r="A362" s="4" t="s">
        <v>192</v>
      </c>
      <c r="B362" s="13"/>
      <c r="C362" s="13" t="s">
        <v>1136</v>
      </c>
      <c r="D362" s="101" t="s">
        <v>1813</v>
      </c>
      <c r="E362" s="102"/>
      <c r="F362" s="13" t="s">
        <v>2384</v>
      </c>
      <c r="G362" s="21">
        <v>1</v>
      </c>
      <c r="H362" s="72">
        <v>0</v>
      </c>
      <c r="I362" s="39"/>
    </row>
    <row r="363" spans="1:9" x14ac:dyDescent="0.3">
      <c r="A363" s="4" t="s">
        <v>193</v>
      </c>
      <c r="B363" s="13"/>
      <c r="C363" s="13" t="s">
        <v>1136</v>
      </c>
      <c r="D363" s="101" t="s">
        <v>1816</v>
      </c>
      <c r="E363" s="102"/>
      <c r="F363" s="13" t="s">
        <v>2384</v>
      </c>
      <c r="G363" s="21">
        <v>3</v>
      </c>
      <c r="H363" s="72">
        <v>0</v>
      </c>
      <c r="I363" s="39"/>
    </row>
    <row r="364" spans="1:9" x14ac:dyDescent="0.3">
      <c r="A364" s="4" t="s">
        <v>194</v>
      </c>
      <c r="B364" s="13"/>
      <c r="C364" s="13" t="s">
        <v>1136</v>
      </c>
      <c r="D364" s="101" t="s">
        <v>1817</v>
      </c>
      <c r="E364" s="102"/>
      <c r="F364" s="13" t="s">
        <v>2384</v>
      </c>
      <c r="G364" s="21">
        <v>10</v>
      </c>
      <c r="H364" s="72">
        <v>0</v>
      </c>
      <c r="I364" s="39"/>
    </row>
    <row r="365" spans="1:9" x14ac:dyDescent="0.3">
      <c r="A365" s="4" t="s">
        <v>195</v>
      </c>
      <c r="B365" s="13"/>
      <c r="C365" s="13" t="s">
        <v>1136</v>
      </c>
      <c r="D365" s="101" t="s">
        <v>1818</v>
      </c>
      <c r="E365" s="102"/>
      <c r="F365" s="13" t="s">
        <v>2384</v>
      </c>
      <c r="G365" s="21">
        <v>2</v>
      </c>
      <c r="H365" s="72">
        <v>0</v>
      </c>
      <c r="I365" s="39"/>
    </row>
    <row r="366" spans="1:9" x14ac:dyDescent="0.3">
      <c r="A366" s="4" t="s">
        <v>196</v>
      </c>
      <c r="B366" s="13"/>
      <c r="C366" s="13" t="s">
        <v>1136</v>
      </c>
      <c r="D366" s="101" t="s">
        <v>1819</v>
      </c>
      <c r="E366" s="102"/>
      <c r="F366" s="13" t="s">
        <v>2384</v>
      </c>
      <c r="G366" s="21">
        <v>4</v>
      </c>
      <c r="H366" s="72">
        <v>0</v>
      </c>
      <c r="I366" s="39"/>
    </row>
    <row r="367" spans="1:9" x14ac:dyDescent="0.3">
      <c r="A367" s="4" t="s">
        <v>197</v>
      </c>
      <c r="B367" s="13"/>
      <c r="C367" s="13" t="s">
        <v>1136</v>
      </c>
      <c r="D367" s="101" t="s">
        <v>1820</v>
      </c>
      <c r="E367" s="102"/>
      <c r="F367" s="13" t="s">
        <v>2384</v>
      </c>
      <c r="G367" s="21">
        <v>1</v>
      </c>
      <c r="H367" s="72">
        <v>0</v>
      </c>
      <c r="I367" s="39"/>
    </row>
    <row r="368" spans="1:9" x14ac:dyDescent="0.3">
      <c r="A368" s="4" t="s">
        <v>198</v>
      </c>
      <c r="B368" s="13"/>
      <c r="C368" s="13" t="s">
        <v>1136</v>
      </c>
      <c r="D368" s="101" t="s">
        <v>1820</v>
      </c>
      <c r="E368" s="102"/>
      <c r="F368" s="13" t="s">
        <v>2384</v>
      </c>
      <c r="G368" s="21">
        <v>1</v>
      </c>
      <c r="H368" s="72">
        <v>0</v>
      </c>
      <c r="I368" s="39"/>
    </row>
    <row r="369" spans="1:9" x14ac:dyDescent="0.3">
      <c r="A369" s="4" t="s">
        <v>199</v>
      </c>
      <c r="B369" s="13"/>
      <c r="C369" s="13" t="s">
        <v>1136</v>
      </c>
      <c r="D369" s="101" t="s">
        <v>1821</v>
      </c>
      <c r="E369" s="102"/>
      <c r="F369" s="13" t="s">
        <v>2384</v>
      </c>
      <c r="G369" s="21">
        <v>12</v>
      </c>
      <c r="H369" s="72">
        <v>0</v>
      </c>
      <c r="I369" s="39"/>
    </row>
    <row r="370" spans="1:9" x14ac:dyDescent="0.3">
      <c r="A370" s="4" t="s">
        <v>200</v>
      </c>
      <c r="B370" s="13"/>
      <c r="C370" s="13" t="s">
        <v>1136</v>
      </c>
      <c r="D370" s="101" t="s">
        <v>1822</v>
      </c>
      <c r="E370" s="102"/>
      <c r="F370" s="13" t="s">
        <v>2384</v>
      </c>
      <c r="G370" s="21">
        <v>1</v>
      </c>
      <c r="H370" s="72">
        <v>0</v>
      </c>
      <c r="I370" s="39"/>
    </row>
    <row r="371" spans="1:9" x14ac:dyDescent="0.3">
      <c r="A371" s="4" t="s">
        <v>201</v>
      </c>
      <c r="B371" s="13"/>
      <c r="C371" s="13" t="s">
        <v>1136</v>
      </c>
      <c r="D371" s="101" t="s">
        <v>1823</v>
      </c>
      <c r="E371" s="102"/>
      <c r="F371" s="13" t="s">
        <v>2384</v>
      </c>
      <c r="G371" s="21">
        <v>1</v>
      </c>
      <c r="H371" s="72">
        <v>0</v>
      </c>
      <c r="I371" s="39"/>
    </row>
    <row r="372" spans="1:9" x14ac:dyDescent="0.3">
      <c r="A372" s="4" t="s">
        <v>202</v>
      </c>
      <c r="B372" s="13"/>
      <c r="C372" s="13" t="s">
        <v>1136</v>
      </c>
      <c r="D372" s="101" t="s">
        <v>1823</v>
      </c>
      <c r="E372" s="102"/>
      <c r="F372" s="13" t="s">
        <v>2384</v>
      </c>
      <c r="G372" s="21">
        <v>1</v>
      </c>
      <c r="H372" s="72">
        <v>0</v>
      </c>
      <c r="I372" s="39"/>
    </row>
    <row r="373" spans="1:9" x14ac:dyDescent="0.3">
      <c r="A373" s="4" t="s">
        <v>203</v>
      </c>
      <c r="B373" s="13"/>
      <c r="C373" s="13" t="s">
        <v>1136</v>
      </c>
      <c r="D373" s="101" t="s">
        <v>1824</v>
      </c>
      <c r="E373" s="102"/>
      <c r="F373" s="13" t="s">
        <v>2384</v>
      </c>
      <c r="G373" s="21">
        <v>2</v>
      </c>
      <c r="H373" s="72">
        <v>0</v>
      </c>
      <c r="I373" s="39"/>
    </row>
    <row r="374" spans="1:9" x14ac:dyDescent="0.3">
      <c r="A374" s="4" t="s">
        <v>204</v>
      </c>
      <c r="B374" s="13"/>
      <c r="C374" s="13" t="s">
        <v>1136</v>
      </c>
      <c r="D374" s="101" t="s">
        <v>1825</v>
      </c>
      <c r="E374" s="102"/>
      <c r="F374" s="13" t="s">
        <v>2384</v>
      </c>
      <c r="G374" s="21">
        <v>2</v>
      </c>
      <c r="H374" s="72">
        <v>0</v>
      </c>
      <c r="I374" s="39"/>
    </row>
    <row r="375" spans="1:9" x14ac:dyDescent="0.3">
      <c r="A375" s="4" t="s">
        <v>205</v>
      </c>
      <c r="B375" s="13"/>
      <c r="C375" s="13" t="s">
        <v>1136</v>
      </c>
      <c r="D375" s="101" t="s">
        <v>1823</v>
      </c>
      <c r="E375" s="102"/>
      <c r="F375" s="13" t="s">
        <v>2384</v>
      </c>
      <c r="G375" s="21">
        <v>1</v>
      </c>
      <c r="H375" s="72">
        <v>0</v>
      </c>
      <c r="I375" s="39"/>
    </row>
    <row r="376" spans="1:9" x14ac:dyDescent="0.3">
      <c r="A376" s="4" t="s">
        <v>206</v>
      </c>
      <c r="B376" s="13"/>
      <c r="C376" s="13" t="s">
        <v>1136</v>
      </c>
      <c r="D376" s="101" t="s">
        <v>1826</v>
      </c>
      <c r="E376" s="102"/>
      <c r="F376" s="13" t="s">
        <v>2384</v>
      </c>
      <c r="G376" s="21">
        <v>1</v>
      </c>
      <c r="H376" s="72">
        <v>0</v>
      </c>
      <c r="I376" s="39"/>
    </row>
    <row r="377" spans="1:9" x14ac:dyDescent="0.3">
      <c r="A377" s="4" t="s">
        <v>207</v>
      </c>
      <c r="B377" s="13"/>
      <c r="C377" s="13" t="s">
        <v>1136</v>
      </c>
      <c r="D377" s="101" t="s">
        <v>1827</v>
      </c>
      <c r="E377" s="102"/>
      <c r="F377" s="13" t="s">
        <v>2384</v>
      </c>
      <c r="G377" s="21">
        <v>1</v>
      </c>
      <c r="H377" s="72">
        <v>0</v>
      </c>
      <c r="I377" s="39"/>
    </row>
    <row r="378" spans="1:9" x14ac:dyDescent="0.3">
      <c r="A378" s="4" t="s">
        <v>208</v>
      </c>
      <c r="B378" s="13"/>
      <c r="C378" s="13" t="s">
        <v>1136</v>
      </c>
      <c r="D378" s="101" t="s">
        <v>1828</v>
      </c>
      <c r="E378" s="102"/>
      <c r="F378" s="13" t="s">
        <v>2384</v>
      </c>
      <c r="G378" s="21">
        <v>1</v>
      </c>
      <c r="H378" s="72">
        <v>0</v>
      </c>
      <c r="I378" s="39"/>
    </row>
    <row r="379" spans="1:9" x14ac:dyDescent="0.3">
      <c r="A379" s="4" t="s">
        <v>209</v>
      </c>
      <c r="B379" s="13"/>
      <c r="C379" s="13" t="s">
        <v>1136</v>
      </c>
      <c r="D379" s="101" t="s">
        <v>1829</v>
      </c>
      <c r="E379" s="102"/>
      <c r="F379" s="13" t="s">
        <v>2384</v>
      </c>
      <c r="G379" s="21">
        <v>1</v>
      </c>
      <c r="H379" s="72">
        <v>0</v>
      </c>
      <c r="I379" s="39"/>
    </row>
    <row r="380" spans="1:9" x14ac:dyDescent="0.3">
      <c r="A380" s="4" t="s">
        <v>210</v>
      </c>
      <c r="B380" s="13"/>
      <c r="C380" s="13" t="s">
        <v>1136</v>
      </c>
      <c r="D380" s="101" t="s">
        <v>1830</v>
      </c>
      <c r="E380" s="102"/>
      <c r="F380" s="13" t="s">
        <v>2387</v>
      </c>
      <c r="G380" s="21">
        <v>48</v>
      </c>
      <c r="H380" s="72">
        <v>0</v>
      </c>
      <c r="I380" s="39"/>
    </row>
    <row r="381" spans="1:9" x14ac:dyDescent="0.3">
      <c r="A381" s="4" t="s">
        <v>211</v>
      </c>
      <c r="B381" s="13"/>
      <c r="C381" s="13" t="s">
        <v>1136</v>
      </c>
      <c r="D381" s="101" t="s">
        <v>1831</v>
      </c>
      <c r="E381" s="102"/>
      <c r="F381" s="13" t="s">
        <v>2394</v>
      </c>
      <c r="G381" s="21">
        <v>12</v>
      </c>
      <c r="H381" s="72">
        <v>0</v>
      </c>
      <c r="I381" s="39"/>
    </row>
    <row r="382" spans="1:9" x14ac:dyDescent="0.3">
      <c r="A382" s="4" t="s">
        <v>212</v>
      </c>
      <c r="B382" s="13"/>
      <c r="C382" s="13" t="s">
        <v>1136</v>
      </c>
      <c r="D382" s="101" t="s">
        <v>1832</v>
      </c>
      <c r="E382" s="102"/>
      <c r="F382" s="13" t="s">
        <v>2394</v>
      </c>
      <c r="G382" s="21">
        <v>18</v>
      </c>
      <c r="H382" s="72">
        <v>0</v>
      </c>
      <c r="I382" s="39"/>
    </row>
    <row r="383" spans="1:9" x14ac:dyDescent="0.3">
      <c r="A383" s="4" t="s">
        <v>213</v>
      </c>
      <c r="B383" s="13"/>
      <c r="C383" s="13" t="s">
        <v>1136</v>
      </c>
      <c r="D383" s="101" t="s">
        <v>1833</v>
      </c>
      <c r="E383" s="102"/>
      <c r="F383" s="13" t="s">
        <v>2394</v>
      </c>
      <c r="G383" s="21">
        <v>18</v>
      </c>
      <c r="H383" s="72">
        <v>0</v>
      </c>
      <c r="I383" s="39"/>
    </row>
    <row r="384" spans="1:9" x14ac:dyDescent="0.3">
      <c r="A384" s="4" t="s">
        <v>214</v>
      </c>
      <c r="B384" s="13"/>
      <c r="C384" s="13" t="s">
        <v>1136</v>
      </c>
      <c r="D384" s="101" t="s">
        <v>1834</v>
      </c>
      <c r="E384" s="102"/>
      <c r="F384" s="13" t="s">
        <v>2394</v>
      </c>
      <c r="G384" s="21">
        <v>15</v>
      </c>
      <c r="H384" s="72">
        <v>0</v>
      </c>
      <c r="I384" s="39"/>
    </row>
    <row r="385" spans="1:9" x14ac:dyDescent="0.3">
      <c r="A385" s="4" t="s">
        <v>215</v>
      </c>
      <c r="B385" s="13"/>
      <c r="C385" s="13" t="s">
        <v>1136</v>
      </c>
      <c r="D385" s="101" t="s">
        <v>1835</v>
      </c>
      <c r="E385" s="102"/>
      <c r="F385" s="13" t="s">
        <v>2394</v>
      </c>
      <c r="G385" s="21">
        <v>6</v>
      </c>
      <c r="H385" s="72">
        <v>0</v>
      </c>
      <c r="I385" s="39"/>
    </row>
    <row r="386" spans="1:9" x14ac:dyDescent="0.3">
      <c r="A386" s="4" t="s">
        <v>216</v>
      </c>
      <c r="B386" s="13"/>
      <c r="C386" s="13" t="s">
        <v>1136</v>
      </c>
      <c r="D386" s="101" t="s">
        <v>1836</v>
      </c>
      <c r="E386" s="102"/>
      <c r="F386" s="13" t="s">
        <v>2394</v>
      </c>
      <c r="G386" s="21">
        <v>9</v>
      </c>
      <c r="H386" s="72">
        <v>0</v>
      </c>
      <c r="I386" s="39"/>
    </row>
    <row r="387" spans="1:9" x14ac:dyDescent="0.3">
      <c r="A387" s="4" t="s">
        <v>217</v>
      </c>
      <c r="B387" s="13"/>
      <c r="C387" s="13" t="s">
        <v>1136</v>
      </c>
      <c r="D387" s="101" t="s">
        <v>1837</v>
      </c>
      <c r="E387" s="102"/>
      <c r="F387" s="13" t="s">
        <v>2394</v>
      </c>
      <c r="G387" s="21">
        <v>16</v>
      </c>
      <c r="H387" s="72">
        <v>0</v>
      </c>
      <c r="I387" s="39"/>
    </row>
    <row r="388" spans="1:9" x14ac:dyDescent="0.3">
      <c r="A388" s="4" t="s">
        <v>218</v>
      </c>
      <c r="B388" s="13"/>
      <c r="C388" s="13" t="s">
        <v>1136</v>
      </c>
      <c r="D388" s="101" t="s">
        <v>1838</v>
      </c>
      <c r="E388" s="102"/>
      <c r="F388" s="13" t="s">
        <v>2394</v>
      </c>
      <c r="G388" s="21">
        <v>9</v>
      </c>
      <c r="H388" s="72">
        <v>0</v>
      </c>
      <c r="I388" s="39"/>
    </row>
    <row r="389" spans="1:9" x14ac:dyDescent="0.3">
      <c r="A389" s="4" t="s">
        <v>219</v>
      </c>
      <c r="B389" s="13"/>
      <c r="C389" s="13" t="s">
        <v>1136</v>
      </c>
      <c r="D389" s="101" t="s">
        <v>1839</v>
      </c>
      <c r="E389" s="102"/>
      <c r="F389" s="13" t="s">
        <v>2387</v>
      </c>
      <c r="G389" s="21">
        <v>25</v>
      </c>
      <c r="H389" s="72">
        <v>0</v>
      </c>
      <c r="I389" s="39"/>
    </row>
    <row r="390" spans="1:9" x14ac:dyDescent="0.3">
      <c r="A390" s="4" t="s">
        <v>220</v>
      </c>
      <c r="B390" s="13"/>
      <c r="C390" s="13" t="s">
        <v>1136</v>
      </c>
      <c r="D390" s="101" t="s">
        <v>1808</v>
      </c>
      <c r="E390" s="102"/>
      <c r="F390" s="13" t="s">
        <v>2384</v>
      </c>
      <c r="G390" s="21">
        <v>10</v>
      </c>
      <c r="H390" s="72">
        <v>0</v>
      </c>
      <c r="I390" s="39"/>
    </row>
    <row r="391" spans="1:9" x14ac:dyDescent="0.3">
      <c r="A391" s="4" t="s">
        <v>221</v>
      </c>
      <c r="B391" s="13"/>
      <c r="C391" s="13" t="s">
        <v>1136</v>
      </c>
      <c r="D391" s="101" t="s">
        <v>1840</v>
      </c>
      <c r="E391" s="102"/>
      <c r="F391" s="13" t="s">
        <v>2384</v>
      </c>
      <c r="G391" s="21">
        <v>1</v>
      </c>
      <c r="H391" s="72">
        <v>0</v>
      </c>
      <c r="I391" s="39"/>
    </row>
    <row r="392" spans="1:9" x14ac:dyDescent="0.3">
      <c r="A392" s="4" t="s">
        <v>222</v>
      </c>
      <c r="B392" s="13"/>
      <c r="C392" s="13" t="s">
        <v>1136</v>
      </c>
      <c r="D392" s="101" t="s">
        <v>1810</v>
      </c>
      <c r="E392" s="102"/>
      <c r="F392" s="13" t="s">
        <v>2384</v>
      </c>
      <c r="G392" s="21">
        <v>1</v>
      </c>
      <c r="H392" s="72">
        <v>0</v>
      </c>
      <c r="I392" s="39"/>
    </row>
    <row r="393" spans="1:9" x14ac:dyDescent="0.3">
      <c r="A393" s="4" t="s">
        <v>223</v>
      </c>
      <c r="B393" s="13"/>
      <c r="C393" s="13" t="s">
        <v>1136</v>
      </c>
      <c r="D393" s="101" t="s">
        <v>1841</v>
      </c>
      <c r="E393" s="102"/>
      <c r="F393" s="13" t="s">
        <v>2384</v>
      </c>
      <c r="G393" s="21">
        <v>4</v>
      </c>
      <c r="H393" s="72">
        <v>0</v>
      </c>
      <c r="I393" s="39"/>
    </row>
    <row r="394" spans="1:9" x14ac:dyDescent="0.3">
      <c r="A394" s="4" t="s">
        <v>224</v>
      </c>
      <c r="B394" s="13"/>
      <c r="C394" s="13" t="s">
        <v>1136</v>
      </c>
      <c r="D394" s="101" t="s">
        <v>1842</v>
      </c>
      <c r="E394" s="102"/>
      <c r="F394" s="13" t="s">
        <v>2384</v>
      </c>
      <c r="G394" s="21">
        <v>1</v>
      </c>
      <c r="H394" s="72">
        <v>0</v>
      </c>
      <c r="I394" s="39"/>
    </row>
    <row r="395" spans="1:9" x14ac:dyDescent="0.3">
      <c r="A395" s="4" t="s">
        <v>225</v>
      </c>
      <c r="B395" s="13"/>
      <c r="C395" s="13" t="s">
        <v>1136</v>
      </c>
      <c r="D395" s="101" t="s">
        <v>1812</v>
      </c>
      <c r="E395" s="102"/>
      <c r="F395" s="13" t="s">
        <v>2384</v>
      </c>
      <c r="G395" s="21">
        <v>1</v>
      </c>
      <c r="H395" s="72">
        <v>0</v>
      </c>
      <c r="I395" s="39"/>
    </row>
    <row r="396" spans="1:9" x14ac:dyDescent="0.3">
      <c r="A396" s="4" t="s">
        <v>226</v>
      </c>
      <c r="B396" s="13"/>
      <c r="C396" s="13" t="s">
        <v>1136</v>
      </c>
      <c r="D396" s="101" t="s">
        <v>1813</v>
      </c>
      <c r="E396" s="102"/>
      <c r="F396" s="13" t="s">
        <v>2384</v>
      </c>
      <c r="G396" s="21">
        <v>1</v>
      </c>
      <c r="H396" s="72">
        <v>0</v>
      </c>
      <c r="I396" s="39"/>
    </row>
    <row r="397" spans="1:9" x14ac:dyDescent="0.3">
      <c r="A397" s="4" t="s">
        <v>227</v>
      </c>
      <c r="B397" s="13"/>
      <c r="C397" s="13" t="s">
        <v>1136</v>
      </c>
      <c r="D397" s="101" t="s">
        <v>1812</v>
      </c>
      <c r="E397" s="102"/>
      <c r="F397" s="13" t="s">
        <v>2384</v>
      </c>
      <c r="G397" s="21">
        <v>1</v>
      </c>
      <c r="H397" s="72">
        <v>0</v>
      </c>
      <c r="I397" s="39"/>
    </row>
    <row r="398" spans="1:9" x14ac:dyDescent="0.3">
      <c r="A398" s="4" t="s">
        <v>228</v>
      </c>
      <c r="B398" s="13"/>
      <c r="C398" s="13" t="s">
        <v>1136</v>
      </c>
      <c r="D398" s="101" t="s">
        <v>1813</v>
      </c>
      <c r="E398" s="102"/>
      <c r="F398" s="13" t="s">
        <v>2384</v>
      </c>
      <c r="G398" s="21">
        <v>1</v>
      </c>
      <c r="H398" s="72">
        <v>0</v>
      </c>
      <c r="I398" s="39"/>
    </row>
    <row r="399" spans="1:9" x14ac:dyDescent="0.3">
      <c r="A399" s="4" t="s">
        <v>229</v>
      </c>
      <c r="B399" s="13"/>
      <c r="C399" s="13" t="s">
        <v>1136</v>
      </c>
      <c r="D399" s="101" t="s">
        <v>1812</v>
      </c>
      <c r="E399" s="102"/>
      <c r="F399" s="13" t="s">
        <v>2384</v>
      </c>
      <c r="G399" s="21">
        <v>1</v>
      </c>
      <c r="H399" s="72">
        <v>0</v>
      </c>
      <c r="I399" s="39"/>
    </row>
    <row r="400" spans="1:9" x14ac:dyDescent="0.3">
      <c r="A400" s="4" t="s">
        <v>230</v>
      </c>
      <c r="B400" s="13"/>
      <c r="C400" s="13" t="s">
        <v>1136</v>
      </c>
      <c r="D400" s="101" t="s">
        <v>1813</v>
      </c>
      <c r="E400" s="102"/>
      <c r="F400" s="13" t="s">
        <v>2384</v>
      </c>
      <c r="G400" s="21">
        <v>1</v>
      </c>
      <c r="H400" s="72">
        <v>0</v>
      </c>
      <c r="I400" s="39"/>
    </row>
    <row r="401" spans="1:9" x14ac:dyDescent="0.3">
      <c r="A401" s="4" t="s">
        <v>231</v>
      </c>
      <c r="B401" s="13"/>
      <c r="C401" s="13" t="s">
        <v>1136</v>
      </c>
      <c r="D401" s="101" t="s">
        <v>1812</v>
      </c>
      <c r="E401" s="102"/>
      <c r="F401" s="13" t="s">
        <v>2384</v>
      </c>
      <c r="G401" s="21">
        <v>1</v>
      </c>
      <c r="H401" s="72">
        <v>0</v>
      </c>
      <c r="I401" s="39"/>
    </row>
    <row r="402" spans="1:9" x14ac:dyDescent="0.3">
      <c r="A402" s="4" t="s">
        <v>232</v>
      </c>
      <c r="B402" s="13"/>
      <c r="C402" s="13" t="s">
        <v>1136</v>
      </c>
      <c r="D402" s="101" t="s">
        <v>1813</v>
      </c>
      <c r="E402" s="102"/>
      <c r="F402" s="13" t="s">
        <v>2384</v>
      </c>
      <c r="G402" s="21">
        <v>1</v>
      </c>
      <c r="H402" s="72">
        <v>0</v>
      </c>
      <c r="I402" s="39"/>
    </row>
    <row r="403" spans="1:9" x14ac:dyDescent="0.3">
      <c r="A403" s="4" t="s">
        <v>233</v>
      </c>
      <c r="B403" s="13"/>
      <c r="C403" s="13" t="s">
        <v>1136</v>
      </c>
      <c r="D403" s="101" t="s">
        <v>1843</v>
      </c>
      <c r="E403" s="102"/>
      <c r="F403" s="13" t="s">
        <v>2384</v>
      </c>
      <c r="G403" s="21">
        <v>1</v>
      </c>
      <c r="H403" s="72">
        <v>0</v>
      </c>
      <c r="I403" s="39"/>
    </row>
    <row r="404" spans="1:9" x14ac:dyDescent="0.3">
      <c r="A404" s="4" t="s">
        <v>234</v>
      </c>
      <c r="B404" s="13"/>
      <c r="C404" s="13" t="s">
        <v>1136</v>
      </c>
      <c r="D404" s="101" t="s">
        <v>1844</v>
      </c>
      <c r="E404" s="102"/>
      <c r="F404" s="13" t="s">
        <v>2384</v>
      </c>
      <c r="G404" s="21">
        <v>1</v>
      </c>
      <c r="H404" s="72">
        <v>0</v>
      </c>
      <c r="I404" s="39"/>
    </row>
    <row r="405" spans="1:9" x14ac:dyDescent="0.3">
      <c r="A405" s="4" t="s">
        <v>235</v>
      </c>
      <c r="B405" s="13"/>
      <c r="C405" s="13" t="s">
        <v>1136</v>
      </c>
      <c r="D405" s="101" t="s">
        <v>1843</v>
      </c>
      <c r="E405" s="102"/>
      <c r="F405" s="13" t="s">
        <v>2384</v>
      </c>
      <c r="G405" s="21">
        <v>1</v>
      </c>
      <c r="H405" s="72">
        <v>0</v>
      </c>
      <c r="I405" s="39"/>
    </row>
    <row r="406" spans="1:9" x14ac:dyDescent="0.3">
      <c r="A406" s="4" t="s">
        <v>236</v>
      </c>
      <c r="B406" s="13"/>
      <c r="C406" s="13" t="s">
        <v>1136</v>
      </c>
      <c r="D406" s="101" t="s">
        <v>1814</v>
      </c>
      <c r="E406" s="102"/>
      <c r="F406" s="13" t="s">
        <v>2384</v>
      </c>
      <c r="G406" s="21">
        <v>1</v>
      </c>
      <c r="H406" s="72">
        <v>0</v>
      </c>
      <c r="I406" s="39"/>
    </row>
    <row r="407" spans="1:9" x14ac:dyDescent="0.3">
      <c r="A407" s="4" t="s">
        <v>237</v>
      </c>
      <c r="B407" s="13"/>
      <c r="C407" s="13" t="s">
        <v>1136</v>
      </c>
      <c r="D407" s="101" t="s">
        <v>1814</v>
      </c>
      <c r="E407" s="102"/>
      <c r="F407" s="13" t="s">
        <v>2384</v>
      </c>
      <c r="G407" s="21">
        <v>1</v>
      </c>
      <c r="H407" s="72">
        <v>0</v>
      </c>
      <c r="I407" s="39"/>
    </row>
    <row r="408" spans="1:9" x14ac:dyDescent="0.3">
      <c r="A408" s="4" t="s">
        <v>238</v>
      </c>
      <c r="B408" s="13"/>
      <c r="C408" s="13" t="s">
        <v>1136</v>
      </c>
      <c r="D408" s="101" t="s">
        <v>1815</v>
      </c>
      <c r="E408" s="102"/>
      <c r="F408" s="13" t="s">
        <v>2384</v>
      </c>
      <c r="G408" s="21">
        <v>1</v>
      </c>
      <c r="H408" s="72">
        <v>0</v>
      </c>
      <c r="I408" s="39"/>
    </row>
    <row r="409" spans="1:9" x14ac:dyDescent="0.3">
      <c r="A409" s="4" t="s">
        <v>239</v>
      </c>
      <c r="B409" s="13"/>
      <c r="C409" s="13" t="s">
        <v>1136</v>
      </c>
      <c r="D409" s="101" t="s">
        <v>1815</v>
      </c>
      <c r="E409" s="102"/>
      <c r="F409" s="13" t="s">
        <v>2384</v>
      </c>
      <c r="G409" s="21">
        <v>1</v>
      </c>
      <c r="H409" s="72">
        <v>0</v>
      </c>
      <c r="I409" s="39"/>
    </row>
    <row r="410" spans="1:9" x14ac:dyDescent="0.3">
      <c r="A410" s="4" t="s">
        <v>240</v>
      </c>
      <c r="B410" s="13"/>
      <c r="C410" s="13" t="s">
        <v>1136</v>
      </c>
      <c r="D410" s="101" t="s">
        <v>1844</v>
      </c>
      <c r="E410" s="102"/>
      <c r="F410" s="13" t="s">
        <v>2384</v>
      </c>
      <c r="G410" s="21">
        <v>1</v>
      </c>
      <c r="H410" s="72">
        <v>0</v>
      </c>
      <c r="I410" s="39"/>
    </row>
    <row r="411" spans="1:9" x14ac:dyDescent="0.3">
      <c r="A411" s="4" t="s">
        <v>241</v>
      </c>
      <c r="B411" s="13"/>
      <c r="C411" s="13" t="s">
        <v>1136</v>
      </c>
      <c r="D411" s="101" t="s">
        <v>1816</v>
      </c>
      <c r="E411" s="102"/>
      <c r="F411" s="13" t="s">
        <v>2384</v>
      </c>
      <c r="G411" s="21">
        <v>2</v>
      </c>
      <c r="H411" s="72">
        <v>0</v>
      </c>
      <c r="I411" s="39"/>
    </row>
    <row r="412" spans="1:9" x14ac:dyDescent="0.3">
      <c r="A412" s="4" t="s">
        <v>242</v>
      </c>
      <c r="B412" s="13"/>
      <c r="C412" s="13" t="s">
        <v>1136</v>
      </c>
      <c r="D412" s="101" t="s">
        <v>1845</v>
      </c>
      <c r="E412" s="102"/>
      <c r="F412" s="13" t="s">
        <v>2384</v>
      </c>
      <c r="G412" s="21">
        <v>1</v>
      </c>
      <c r="H412" s="72">
        <v>0</v>
      </c>
      <c r="I412" s="39"/>
    </row>
    <row r="413" spans="1:9" x14ac:dyDescent="0.3">
      <c r="A413" s="4" t="s">
        <v>243</v>
      </c>
      <c r="B413" s="13"/>
      <c r="C413" s="13" t="s">
        <v>1136</v>
      </c>
      <c r="D413" s="101" t="s">
        <v>1845</v>
      </c>
      <c r="E413" s="102"/>
      <c r="F413" s="13" t="s">
        <v>2384</v>
      </c>
      <c r="G413" s="21">
        <v>1</v>
      </c>
      <c r="H413" s="72">
        <v>0</v>
      </c>
      <c r="I413" s="39"/>
    </row>
    <row r="414" spans="1:9" x14ac:dyDescent="0.3">
      <c r="A414" s="4" t="s">
        <v>244</v>
      </c>
      <c r="B414" s="13"/>
      <c r="C414" s="13" t="s">
        <v>1136</v>
      </c>
      <c r="D414" s="101" t="s">
        <v>1825</v>
      </c>
      <c r="E414" s="102"/>
      <c r="F414" s="13" t="s">
        <v>2384</v>
      </c>
      <c r="G414" s="21">
        <v>2</v>
      </c>
      <c r="H414" s="72">
        <v>0</v>
      </c>
      <c r="I414" s="39"/>
    </row>
    <row r="415" spans="1:9" x14ac:dyDescent="0.3">
      <c r="A415" s="4" t="s">
        <v>245</v>
      </c>
      <c r="B415" s="13"/>
      <c r="C415" s="13" t="s">
        <v>1136</v>
      </c>
      <c r="D415" s="101" t="s">
        <v>1823</v>
      </c>
      <c r="E415" s="102"/>
      <c r="F415" s="13" t="s">
        <v>2384</v>
      </c>
      <c r="G415" s="21">
        <v>1</v>
      </c>
      <c r="H415" s="72">
        <v>0</v>
      </c>
      <c r="I415" s="39"/>
    </row>
    <row r="416" spans="1:9" x14ac:dyDescent="0.3">
      <c r="A416" s="4" t="s">
        <v>246</v>
      </c>
      <c r="B416" s="13"/>
      <c r="C416" s="13" t="s">
        <v>1136</v>
      </c>
      <c r="D416" s="101" t="s">
        <v>1823</v>
      </c>
      <c r="E416" s="102"/>
      <c r="F416" s="13" t="s">
        <v>2384</v>
      </c>
      <c r="G416" s="21">
        <v>1</v>
      </c>
      <c r="H416" s="72">
        <v>0</v>
      </c>
      <c r="I416" s="39"/>
    </row>
    <row r="417" spans="1:9" x14ac:dyDescent="0.3">
      <c r="A417" s="4" t="s">
        <v>247</v>
      </c>
      <c r="B417" s="13"/>
      <c r="C417" s="13" t="s">
        <v>1136</v>
      </c>
      <c r="D417" s="101" t="s">
        <v>1846</v>
      </c>
      <c r="E417" s="102"/>
      <c r="F417" s="13" t="s">
        <v>2384</v>
      </c>
      <c r="G417" s="21">
        <v>4</v>
      </c>
      <c r="H417" s="72">
        <v>0</v>
      </c>
      <c r="I417" s="39"/>
    </row>
    <row r="418" spans="1:9" x14ac:dyDescent="0.3">
      <c r="A418" s="4" t="s">
        <v>248</v>
      </c>
      <c r="B418" s="13"/>
      <c r="C418" s="13" t="s">
        <v>1136</v>
      </c>
      <c r="D418" s="101" t="s">
        <v>1847</v>
      </c>
      <c r="E418" s="102"/>
      <c r="F418" s="13" t="s">
        <v>2384</v>
      </c>
      <c r="G418" s="21">
        <v>8</v>
      </c>
      <c r="H418" s="72">
        <v>0</v>
      </c>
      <c r="I418" s="39"/>
    </row>
    <row r="419" spans="1:9" x14ac:dyDescent="0.3">
      <c r="A419" s="4" t="s">
        <v>249</v>
      </c>
      <c r="B419" s="13"/>
      <c r="C419" s="13" t="s">
        <v>1136</v>
      </c>
      <c r="D419" s="101" t="s">
        <v>1848</v>
      </c>
      <c r="E419" s="102"/>
      <c r="F419" s="13" t="s">
        <v>2384</v>
      </c>
      <c r="G419" s="21">
        <v>2</v>
      </c>
      <c r="H419" s="72">
        <v>0</v>
      </c>
      <c r="I419" s="39"/>
    </row>
    <row r="420" spans="1:9" x14ac:dyDescent="0.3">
      <c r="A420" s="4" t="s">
        <v>250</v>
      </c>
      <c r="B420" s="13"/>
      <c r="C420" s="13" t="s">
        <v>1136</v>
      </c>
      <c r="D420" s="101" t="s">
        <v>1824</v>
      </c>
      <c r="E420" s="102"/>
      <c r="F420" s="13" t="s">
        <v>2384</v>
      </c>
      <c r="G420" s="21">
        <v>2</v>
      </c>
      <c r="H420" s="72">
        <v>0</v>
      </c>
      <c r="I420" s="39"/>
    </row>
    <row r="421" spans="1:9" x14ac:dyDescent="0.3">
      <c r="A421" s="4" t="s">
        <v>251</v>
      </c>
      <c r="B421" s="13"/>
      <c r="C421" s="13" t="s">
        <v>1136</v>
      </c>
      <c r="D421" s="101" t="s">
        <v>1849</v>
      </c>
      <c r="E421" s="102"/>
      <c r="F421" s="13" t="s">
        <v>2384</v>
      </c>
      <c r="G421" s="21">
        <v>3</v>
      </c>
      <c r="H421" s="72">
        <v>0</v>
      </c>
      <c r="I421" s="39"/>
    </row>
    <row r="422" spans="1:9" x14ac:dyDescent="0.3">
      <c r="A422" s="4" t="s">
        <v>252</v>
      </c>
      <c r="B422" s="13"/>
      <c r="C422" s="13" t="s">
        <v>1136</v>
      </c>
      <c r="D422" s="101" t="s">
        <v>1850</v>
      </c>
      <c r="E422" s="102"/>
      <c r="F422" s="13" t="s">
        <v>2384</v>
      </c>
      <c r="G422" s="21">
        <v>1</v>
      </c>
      <c r="H422" s="72">
        <v>0</v>
      </c>
      <c r="I422" s="39"/>
    </row>
    <row r="423" spans="1:9" x14ac:dyDescent="0.3">
      <c r="A423" s="4" t="s">
        <v>253</v>
      </c>
      <c r="B423" s="13"/>
      <c r="C423" s="13" t="s">
        <v>1136</v>
      </c>
      <c r="D423" s="101" t="s">
        <v>1820</v>
      </c>
      <c r="E423" s="102"/>
      <c r="F423" s="13" t="s">
        <v>2384</v>
      </c>
      <c r="G423" s="21">
        <v>2</v>
      </c>
      <c r="H423" s="72">
        <v>0</v>
      </c>
      <c r="I423" s="39"/>
    </row>
    <row r="424" spans="1:9" x14ac:dyDescent="0.3">
      <c r="A424" s="4" t="s">
        <v>254</v>
      </c>
      <c r="B424" s="13"/>
      <c r="C424" s="13" t="s">
        <v>1136</v>
      </c>
      <c r="D424" s="101" t="s">
        <v>1820</v>
      </c>
      <c r="E424" s="102"/>
      <c r="F424" s="13" t="s">
        <v>2384</v>
      </c>
      <c r="G424" s="21">
        <v>1</v>
      </c>
      <c r="H424" s="72">
        <v>0</v>
      </c>
      <c r="I424" s="39"/>
    </row>
    <row r="425" spans="1:9" x14ac:dyDescent="0.3">
      <c r="A425" s="4" t="s">
        <v>255</v>
      </c>
      <c r="B425" s="13"/>
      <c r="C425" s="13" t="s">
        <v>1136</v>
      </c>
      <c r="D425" s="101" t="s">
        <v>1851</v>
      </c>
      <c r="E425" s="102"/>
      <c r="F425" s="13" t="s">
        <v>2384</v>
      </c>
      <c r="G425" s="21">
        <v>2</v>
      </c>
      <c r="H425" s="72">
        <v>0</v>
      </c>
      <c r="I425" s="39"/>
    </row>
    <row r="426" spans="1:9" x14ac:dyDescent="0.3">
      <c r="A426" s="4" t="s">
        <v>256</v>
      </c>
      <c r="B426" s="13"/>
      <c r="C426" s="13" t="s">
        <v>1136</v>
      </c>
      <c r="D426" s="101" t="s">
        <v>1821</v>
      </c>
      <c r="E426" s="102"/>
      <c r="F426" s="13" t="s">
        <v>2384</v>
      </c>
      <c r="G426" s="21">
        <v>12</v>
      </c>
      <c r="H426" s="72">
        <v>0</v>
      </c>
      <c r="I426" s="39"/>
    </row>
    <row r="427" spans="1:9" x14ac:dyDescent="0.3">
      <c r="A427" s="4" t="s">
        <v>257</v>
      </c>
      <c r="B427" s="13"/>
      <c r="C427" s="13" t="s">
        <v>1136</v>
      </c>
      <c r="D427" s="101" t="s">
        <v>1822</v>
      </c>
      <c r="E427" s="102"/>
      <c r="F427" s="13" t="s">
        <v>2384</v>
      </c>
      <c r="G427" s="21">
        <v>2</v>
      </c>
      <c r="H427" s="72">
        <v>0</v>
      </c>
      <c r="I427" s="39"/>
    </row>
    <row r="428" spans="1:9" x14ac:dyDescent="0.3">
      <c r="A428" s="4" t="s">
        <v>258</v>
      </c>
      <c r="B428" s="13"/>
      <c r="C428" s="13" t="s">
        <v>1136</v>
      </c>
      <c r="D428" s="101" t="s">
        <v>1820</v>
      </c>
      <c r="E428" s="102"/>
      <c r="F428" s="13" t="s">
        <v>2384</v>
      </c>
      <c r="G428" s="21">
        <v>4</v>
      </c>
      <c r="H428" s="72">
        <v>0</v>
      </c>
      <c r="I428" s="39"/>
    </row>
    <row r="429" spans="1:9" x14ac:dyDescent="0.3">
      <c r="A429" s="4" t="s">
        <v>259</v>
      </c>
      <c r="B429" s="13"/>
      <c r="C429" s="13" t="s">
        <v>1136</v>
      </c>
      <c r="D429" s="101" t="s">
        <v>1852</v>
      </c>
      <c r="E429" s="102"/>
      <c r="F429" s="13" t="s">
        <v>2384</v>
      </c>
      <c r="G429" s="21">
        <v>1</v>
      </c>
      <c r="H429" s="72">
        <v>0</v>
      </c>
      <c r="I429" s="39"/>
    </row>
    <row r="430" spans="1:9" x14ac:dyDescent="0.3">
      <c r="A430" s="4" t="s">
        <v>260</v>
      </c>
      <c r="B430" s="13"/>
      <c r="C430" s="13" t="s">
        <v>1136</v>
      </c>
      <c r="D430" s="101" t="s">
        <v>1853</v>
      </c>
      <c r="E430" s="102"/>
      <c r="F430" s="13" t="s">
        <v>2384</v>
      </c>
      <c r="G430" s="21">
        <v>1</v>
      </c>
      <c r="H430" s="72">
        <v>0</v>
      </c>
      <c r="I430" s="39"/>
    </row>
    <row r="431" spans="1:9" x14ac:dyDescent="0.3">
      <c r="A431" s="4" t="s">
        <v>261</v>
      </c>
      <c r="B431" s="13"/>
      <c r="C431" s="13" t="s">
        <v>1136</v>
      </c>
      <c r="D431" s="101" t="s">
        <v>1827</v>
      </c>
      <c r="E431" s="102"/>
      <c r="F431" s="13" t="s">
        <v>2384</v>
      </c>
      <c r="G431" s="21">
        <v>1</v>
      </c>
      <c r="H431" s="72">
        <v>0</v>
      </c>
      <c r="I431" s="39"/>
    </row>
    <row r="432" spans="1:9" x14ac:dyDescent="0.3">
      <c r="A432" s="4" t="s">
        <v>262</v>
      </c>
      <c r="B432" s="13"/>
      <c r="C432" s="13" t="s">
        <v>1136</v>
      </c>
      <c r="D432" s="101" t="s">
        <v>1854</v>
      </c>
      <c r="E432" s="102"/>
      <c r="F432" s="13" t="s">
        <v>2384</v>
      </c>
      <c r="G432" s="21">
        <v>3</v>
      </c>
      <c r="H432" s="72">
        <v>0</v>
      </c>
      <c r="I432" s="39"/>
    </row>
    <row r="433" spans="1:9" x14ac:dyDescent="0.3">
      <c r="A433" s="4" t="s">
        <v>263</v>
      </c>
      <c r="B433" s="13"/>
      <c r="C433" s="13" t="s">
        <v>1136</v>
      </c>
      <c r="D433" s="101" t="s">
        <v>1830</v>
      </c>
      <c r="E433" s="102"/>
      <c r="F433" s="13" t="s">
        <v>2387</v>
      </c>
      <c r="G433" s="21">
        <v>111</v>
      </c>
      <c r="H433" s="72">
        <v>0</v>
      </c>
      <c r="I433" s="39"/>
    </row>
    <row r="434" spans="1:9" x14ac:dyDescent="0.3">
      <c r="A434" s="4" t="s">
        <v>264</v>
      </c>
      <c r="B434" s="13"/>
      <c r="C434" s="13" t="s">
        <v>1136</v>
      </c>
      <c r="D434" s="101" t="s">
        <v>1831</v>
      </c>
      <c r="E434" s="102"/>
      <c r="F434" s="13" t="s">
        <v>2394</v>
      </c>
      <c r="G434" s="21">
        <v>12</v>
      </c>
      <c r="H434" s="72">
        <v>0</v>
      </c>
      <c r="I434" s="39"/>
    </row>
    <row r="435" spans="1:9" x14ac:dyDescent="0.3">
      <c r="A435" s="4" t="s">
        <v>265</v>
      </c>
      <c r="B435" s="13"/>
      <c r="C435" s="13" t="s">
        <v>1136</v>
      </c>
      <c r="D435" s="101" t="s">
        <v>1832</v>
      </c>
      <c r="E435" s="102"/>
      <c r="F435" s="13" t="s">
        <v>2394</v>
      </c>
      <c r="G435" s="21">
        <v>36</v>
      </c>
      <c r="H435" s="72">
        <v>0</v>
      </c>
      <c r="I435" s="39"/>
    </row>
    <row r="436" spans="1:9" x14ac:dyDescent="0.3">
      <c r="A436" s="4" t="s">
        <v>266</v>
      </c>
      <c r="B436" s="13"/>
      <c r="C436" s="13" t="s">
        <v>1136</v>
      </c>
      <c r="D436" s="101" t="s">
        <v>1833</v>
      </c>
      <c r="E436" s="102"/>
      <c r="F436" s="13" t="s">
        <v>2394</v>
      </c>
      <c r="G436" s="21">
        <v>21</v>
      </c>
      <c r="H436" s="72">
        <v>0</v>
      </c>
      <c r="I436" s="39"/>
    </row>
    <row r="437" spans="1:9" x14ac:dyDescent="0.3">
      <c r="A437" s="4" t="s">
        <v>267</v>
      </c>
      <c r="B437" s="13"/>
      <c r="C437" s="13" t="s">
        <v>1136</v>
      </c>
      <c r="D437" s="101" t="s">
        <v>1834</v>
      </c>
      <c r="E437" s="102"/>
      <c r="F437" s="13" t="s">
        <v>2394</v>
      </c>
      <c r="G437" s="21">
        <v>18</v>
      </c>
      <c r="H437" s="72">
        <v>0</v>
      </c>
      <c r="I437" s="39"/>
    </row>
    <row r="438" spans="1:9" x14ac:dyDescent="0.3">
      <c r="A438" s="4" t="s">
        <v>268</v>
      </c>
      <c r="B438" s="13"/>
      <c r="C438" s="13" t="s">
        <v>1136</v>
      </c>
      <c r="D438" s="101" t="s">
        <v>1835</v>
      </c>
      <c r="E438" s="102"/>
      <c r="F438" s="13" t="s">
        <v>2394</v>
      </c>
      <c r="G438" s="21">
        <v>6</v>
      </c>
      <c r="H438" s="72">
        <v>0</v>
      </c>
      <c r="I438" s="39"/>
    </row>
    <row r="439" spans="1:9" x14ac:dyDescent="0.3">
      <c r="A439" s="4" t="s">
        <v>269</v>
      </c>
      <c r="B439" s="13"/>
      <c r="C439" s="13" t="s">
        <v>1136</v>
      </c>
      <c r="D439" s="101" t="s">
        <v>1855</v>
      </c>
      <c r="E439" s="102"/>
      <c r="F439" s="13" t="s">
        <v>2394</v>
      </c>
      <c r="G439" s="21">
        <v>2</v>
      </c>
      <c r="H439" s="72">
        <v>0</v>
      </c>
      <c r="I439" s="39"/>
    </row>
    <row r="440" spans="1:9" x14ac:dyDescent="0.3">
      <c r="A440" s="4" t="s">
        <v>270</v>
      </c>
      <c r="B440" s="13"/>
      <c r="C440" s="13" t="s">
        <v>1136</v>
      </c>
      <c r="D440" s="101" t="s">
        <v>1838</v>
      </c>
      <c r="E440" s="102"/>
      <c r="F440" s="13" t="s">
        <v>2394</v>
      </c>
      <c r="G440" s="21">
        <v>10</v>
      </c>
      <c r="H440" s="72">
        <v>0</v>
      </c>
      <c r="I440" s="39"/>
    </row>
    <row r="441" spans="1:9" x14ac:dyDescent="0.3">
      <c r="A441" s="4" t="s">
        <v>271</v>
      </c>
      <c r="B441" s="13"/>
      <c r="C441" s="13" t="s">
        <v>1136</v>
      </c>
      <c r="D441" s="101" t="s">
        <v>1837</v>
      </c>
      <c r="E441" s="102"/>
      <c r="F441" s="13" t="s">
        <v>2394</v>
      </c>
      <c r="G441" s="21">
        <v>3</v>
      </c>
      <c r="H441" s="72">
        <v>0</v>
      </c>
      <c r="I441" s="39"/>
    </row>
    <row r="442" spans="1:9" x14ac:dyDescent="0.3">
      <c r="A442" s="4" t="s">
        <v>272</v>
      </c>
      <c r="B442" s="13"/>
      <c r="C442" s="13" t="s">
        <v>1136</v>
      </c>
      <c r="D442" s="101" t="s">
        <v>1856</v>
      </c>
      <c r="E442" s="102"/>
      <c r="F442" s="13" t="s">
        <v>2394</v>
      </c>
      <c r="G442" s="21">
        <v>13</v>
      </c>
      <c r="H442" s="72">
        <v>0</v>
      </c>
      <c r="I442" s="39"/>
    </row>
    <row r="443" spans="1:9" x14ac:dyDescent="0.3">
      <c r="A443" s="4" t="s">
        <v>273</v>
      </c>
      <c r="B443" s="13"/>
      <c r="C443" s="13" t="s">
        <v>1136</v>
      </c>
      <c r="D443" s="101" t="s">
        <v>1839</v>
      </c>
      <c r="E443" s="102"/>
      <c r="F443" s="13" t="s">
        <v>2387</v>
      </c>
      <c r="G443" s="21">
        <v>28</v>
      </c>
      <c r="H443" s="72">
        <v>0</v>
      </c>
      <c r="I443" s="39"/>
    </row>
    <row r="444" spans="1:9" x14ac:dyDescent="0.3">
      <c r="A444" s="4" t="s">
        <v>274</v>
      </c>
      <c r="B444" s="13"/>
      <c r="C444" s="13" t="s">
        <v>1136</v>
      </c>
      <c r="D444" s="101" t="s">
        <v>1857</v>
      </c>
      <c r="E444" s="102"/>
      <c r="F444" s="13" t="s">
        <v>2384</v>
      </c>
      <c r="G444" s="21">
        <v>7</v>
      </c>
      <c r="H444" s="72">
        <v>0</v>
      </c>
      <c r="I444" s="39"/>
    </row>
    <row r="445" spans="1:9" x14ac:dyDescent="0.3">
      <c r="A445" s="4" t="s">
        <v>275</v>
      </c>
      <c r="B445" s="13"/>
      <c r="C445" s="13" t="s">
        <v>1136</v>
      </c>
      <c r="D445" s="101" t="s">
        <v>1808</v>
      </c>
      <c r="E445" s="102"/>
      <c r="F445" s="13" t="s">
        <v>2384</v>
      </c>
      <c r="G445" s="21">
        <v>3</v>
      </c>
      <c r="H445" s="72">
        <v>0</v>
      </c>
      <c r="I445" s="39"/>
    </row>
    <row r="446" spans="1:9" x14ac:dyDescent="0.3">
      <c r="A446" s="4" t="s">
        <v>276</v>
      </c>
      <c r="B446" s="13"/>
      <c r="C446" s="13" t="s">
        <v>1136</v>
      </c>
      <c r="D446" s="101" t="s">
        <v>1858</v>
      </c>
      <c r="E446" s="102"/>
      <c r="F446" s="13" t="s">
        <v>2384</v>
      </c>
      <c r="G446" s="21">
        <v>1</v>
      </c>
      <c r="H446" s="72">
        <v>0</v>
      </c>
      <c r="I446" s="39"/>
    </row>
    <row r="447" spans="1:9" x14ac:dyDescent="0.3">
      <c r="A447" s="4" t="s">
        <v>277</v>
      </c>
      <c r="B447" s="13"/>
      <c r="C447" s="13" t="s">
        <v>1136</v>
      </c>
      <c r="D447" s="101" t="s">
        <v>1810</v>
      </c>
      <c r="E447" s="102"/>
      <c r="F447" s="13" t="s">
        <v>2384</v>
      </c>
      <c r="G447" s="21">
        <v>1</v>
      </c>
      <c r="H447" s="72">
        <v>0</v>
      </c>
      <c r="I447" s="39"/>
    </row>
    <row r="448" spans="1:9" x14ac:dyDescent="0.3">
      <c r="A448" s="4" t="s">
        <v>278</v>
      </c>
      <c r="B448" s="13"/>
      <c r="C448" s="13" t="s">
        <v>1136</v>
      </c>
      <c r="D448" s="101" t="s">
        <v>1840</v>
      </c>
      <c r="E448" s="102"/>
      <c r="F448" s="13" t="s">
        <v>2384</v>
      </c>
      <c r="G448" s="21">
        <v>1</v>
      </c>
      <c r="H448" s="72">
        <v>0</v>
      </c>
      <c r="I448" s="39"/>
    </row>
    <row r="449" spans="1:9" x14ac:dyDescent="0.3">
      <c r="A449" s="4" t="s">
        <v>279</v>
      </c>
      <c r="B449" s="13"/>
      <c r="C449" s="13" t="s">
        <v>1136</v>
      </c>
      <c r="D449" s="101" t="s">
        <v>1810</v>
      </c>
      <c r="E449" s="102"/>
      <c r="F449" s="13" t="s">
        <v>2384</v>
      </c>
      <c r="G449" s="21">
        <v>1</v>
      </c>
      <c r="H449" s="72">
        <v>0</v>
      </c>
      <c r="I449" s="39"/>
    </row>
    <row r="450" spans="1:9" x14ac:dyDescent="0.3">
      <c r="A450" s="4" t="s">
        <v>280</v>
      </c>
      <c r="B450" s="13"/>
      <c r="C450" s="13" t="s">
        <v>1136</v>
      </c>
      <c r="D450" s="101" t="s">
        <v>1841</v>
      </c>
      <c r="E450" s="102"/>
      <c r="F450" s="13" t="s">
        <v>2384</v>
      </c>
      <c r="G450" s="21">
        <v>10</v>
      </c>
      <c r="H450" s="72">
        <v>0</v>
      </c>
      <c r="I450" s="39"/>
    </row>
    <row r="451" spans="1:9" x14ac:dyDescent="0.3">
      <c r="A451" s="4" t="s">
        <v>281</v>
      </c>
      <c r="B451" s="13"/>
      <c r="C451" s="13" t="s">
        <v>1136</v>
      </c>
      <c r="D451" s="101" t="s">
        <v>1841</v>
      </c>
      <c r="E451" s="102"/>
      <c r="F451" s="13" t="s">
        <v>2384</v>
      </c>
      <c r="G451" s="21">
        <v>1</v>
      </c>
      <c r="H451" s="72">
        <v>0</v>
      </c>
      <c r="I451" s="39"/>
    </row>
    <row r="452" spans="1:9" x14ac:dyDescent="0.3">
      <c r="A452" s="4" t="s">
        <v>282</v>
      </c>
      <c r="B452" s="13"/>
      <c r="C452" s="13" t="s">
        <v>1136</v>
      </c>
      <c r="D452" s="101" t="s">
        <v>1841</v>
      </c>
      <c r="E452" s="102"/>
      <c r="F452" s="13" t="s">
        <v>2384</v>
      </c>
      <c r="G452" s="21">
        <v>4</v>
      </c>
      <c r="H452" s="72">
        <v>0</v>
      </c>
      <c r="I452" s="39"/>
    </row>
    <row r="453" spans="1:9" x14ac:dyDescent="0.3">
      <c r="A453" s="4" t="s">
        <v>283</v>
      </c>
      <c r="B453" s="13"/>
      <c r="C453" s="13" t="s">
        <v>1136</v>
      </c>
      <c r="D453" s="101" t="s">
        <v>1812</v>
      </c>
      <c r="E453" s="102"/>
      <c r="F453" s="13" t="s">
        <v>2384</v>
      </c>
      <c r="G453" s="21">
        <v>1</v>
      </c>
      <c r="H453" s="72">
        <v>0</v>
      </c>
      <c r="I453" s="39"/>
    </row>
    <row r="454" spans="1:9" x14ac:dyDescent="0.3">
      <c r="A454" s="4" t="s">
        <v>284</v>
      </c>
      <c r="B454" s="13"/>
      <c r="C454" s="13" t="s">
        <v>1136</v>
      </c>
      <c r="D454" s="101" t="s">
        <v>1812</v>
      </c>
      <c r="E454" s="102"/>
      <c r="F454" s="13" t="s">
        <v>2384</v>
      </c>
      <c r="G454" s="21">
        <v>1</v>
      </c>
      <c r="H454" s="72">
        <v>0</v>
      </c>
      <c r="I454" s="39"/>
    </row>
    <row r="455" spans="1:9" x14ac:dyDescent="0.3">
      <c r="A455" s="4" t="s">
        <v>285</v>
      </c>
      <c r="B455" s="13"/>
      <c r="C455" s="13" t="s">
        <v>1136</v>
      </c>
      <c r="D455" s="101" t="s">
        <v>1813</v>
      </c>
      <c r="E455" s="102"/>
      <c r="F455" s="13" t="s">
        <v>2384</v>
      </c>
      <c r="G455" s="21">
        <v>1</v>
      </c>
      <c r="H455" s="72">
        <v>0</v>
      </c>
      <c r="I455" s="39"/>
    </row>
    <row r="456" spans="1:9" x14ac:dyDescent="0.3">
      <c r="A456" s="4" t="s">
        <v>286</v>
      </c>
      <c r="B456" s="13"/>
      <c r="C456" s="13" t="s">
        <v>1136</v>
      </c>
      <c r="D456" s="101" t="s">
        <v>1813</v>
      </c>
      <c r="E456" s="102"/>
      <c r="F456" s="13" t="s">
        <v>2384</v>
      </c>
      <c r="G456" s="21">
        <v>1</v>
      </c>
      <c r="H456" s="72">
        <v>0</v>
      </c>
      <c r="I456" s="39"/>
    </row>
    <row r="457" spans="1:9" x14ac:dyDescent="0.3">
      <c r="A457" s="4" t="s">
        <v>287</v>
      </c>
      <c r="B457" s="13"/>
      <c r="C457" s="13" t="s">
        <v>1136</v>
      </c>
      <c r="D457" s="101" t="s">
        <v>1812</v>
      </c>
      <c r="E457" s="102"/>
      <c r="F457" s="13" t="s">
        <v>2384</v>
      </c>
      <c r="G457" s="21">
        <v>1</v>
      </c>
      <c r="H457" s="72">
        <v>0</v>
      </c>
      <c r="I457" s="39"/>
    </row>
    <row r="458" spans="1:9" x14ac:dyDescent="0.3">
      <c r="A458" s="4" t="s">
        <v>288</v>
      </c>
      <c r="B458" s="13"/>
      <c r="C458" s="13" t="s">
        <v>1136</v>
      </c>
      <c r="D458" s="101" t="s">
        <v>1812</v>
      </c>
      <c r="E458" s="102"/>
      <c r="F458" s="13" t="s">
        <v>2384</v>
      </c>
      <c r="G458" s="21">
        <v>1</v>
      </c>
      <c r="H458" s="72">
        <v>0</v>
      </c>
      <c r="I458" s="39"/>
    </row>
    <row r="459" spans="1:9" x14ac:dyDescent="0.3">
      <c r="A459" s="4" t="s">
        <v>289</v>
      </c>
      <c r="B459" s="13"/>
      <c r="C459" s="13" t="s">
        <v>1136</v>
      </c>
      <c r="D459" s="101" t="s">
        <v>1813</v>
      </c>
      <c r="E459" s="102"/>
      <c r="F459" s="13" t="s">
        <v>2384</v>
      </c>
      <c r="G459" s="21">
        <v>1</v>
      </c>
      <c r="H459" s="72">
        <v>0</v>
      </c>
      <c r="I459" s="39"/>
    </row>
    <row r="460" spans="1:9" x14ac:dyDescent="0.3">
      <c r="A460" s="4" t="s">
        <v>290</v>
      </c>
      <c r="B460" s="13"/>
      <c r="C460" s="13" t="s">
        <v>1136</v>
      </c>
      <c r="D460" s="101" t="s">
        <v>1813</v>
      </c>
      <c r="E460" s="102"/>
      <c r="F460" s="13" t="s">
        <v>2384</v>
      </c>
      <c r="G460" s="21">
        <v>1</v>
      </c>
      <c r="H460" s="72">
        <v>0</v>
      </c>
      <c r="I460" s="39"/>
    </row>
    <row r="461" spans="1:9" x14ac:dyDescent="0.3">
      <c r="A461" s="4" t="s">
        <v>291</v>
      </c>
      <c r="B461" s="13"/>
      <c r="C461" s="13" t="s">
        <v>1136</v>
      </c>
      <c r="D461" s="101" t="s">
        <v>1815</v>
      </c>
      <c r="E461" s="102"/>
      <c r="F461" s="13" t="s">
        <v>2384</v>
      </c>
      <c r="G461" s="21">
        <v>1</v>
      </c>
      <c r="H461" s="72">
        <v>0</v>
      </c>
      <c r="I461" s="39"/>
    </row>
    <row r="462" spans="1:9" x14ac:dyDescent="0.3">
      <c r="A462" s="4" t="s">
        <v>292</v>
      </c>
      <c r="B462" s="13"/>
      <c r="C462" s="13" t="s">
        <v>1136</v>
      </c>
      <c r="D462" s="101" t="s">
        <v>1815</v>
      </c>
      <c r="E462" s="102"/>
      <c r="F462" s="13" t="s">
        <v>2384</v>
      </c>
      <c r="G462" s="21">
        <v>1</v>
      </c>
      <c r="H462" s="72">
        <v>0</v>
      </c>
      <c r="I462" s="39"/>
    </row>
    <row r="463" spans="1:9" x14ac:dyDescent="0.3">
      <c r="A463" s="4" t="s">
        <v>293</v>
      </c>
      <c r="B463" s="13"/>
      <c r="C463" s="13" t="s">
        <v>1136</v>
      </c>
      <c r="D463" s="101" t="s">
        <v>1814</v>
      </c>
      <c r="E463" s="102"/>
      <c r="F463" s="13" t="s">
        <v>2384</v>
      </c>
      <c r="G463" s="21">
        <v>1</v>
      </c>
      <c r="H463" s="72">
        <v>0</v>
      </c>
      <c r="I463" s="39"/>
    </row>
    <row r="464" spans="1:9" x14ac:dyDescent="0.3">
      <c r="A464" s="4" t="s">
        <v>294</v>
      </c>
      <c r="B464" s="13"/>
      <c r="C464" s="13" t="s">
        <v>1136</v>
      </c>
      <c r="D464" s="101" t="s">
        <v>1814</v>
      </c>
      <c r="E464" s="102"/>
      <c r="F464" s="13" t="s">
        <v>2384</v>
      </c>
      <c r="G464" s="21">
        <v>1</v>
      </c>
      <c r="H464" s="72">
        <v>0</v>
      </c>
      <c r="I464" s="39"/>
    </row>
    <row r="465" spans="1:9" x14ac:dyDescent="0.3">
      <c r="A465" s="4" t="s">
        <v>295</v>
      </c>
      <c r="B465" s="13"/>
      <c r="C465" s="13" t="s">
        <v>1136</v>
      </c>
      <c r="D465" s="101" t="s">
        <v>1815</v>
      </c>
      <c r="E465" s="102"/>
      <c r="F465" s="13" t="s">
        <v>2384</v>
      </c>
      <c r="G465" s="21">
        <v>1</v>
      </c>
      <c r="H465" s="72">
        <v>0</v>
      </c>
      <c r="I465" s="39"/>
    </row>
    <row r="466" spans="1:9" x14ac:dyDescent="0.3">
      <c r="A466" s="4" t="s">
        <v>296</v>
      </c>
      <c r="B466" s="13"/>
      <c r="C466" s="13" t="s">
        <v>1136</v>
      </c>
      <c r="D466" s="101" t="s">
        <v>1815</v>
      </c>
      <c r="E466" s="102"/>
      <c r="F466" s="13" t="s">
        <v>2384</v>
      </c>
      <c r="G466" s="21">
        <v>1</v>
      </c>
      <c r="H466" s="72">
        <v>0</v>
      </c>
      <c r="I466" s="39"/>
    </row>
    <row r="467" spans="1:9" x14ac:dyDescent="0.3">
      <c r="A467" s="4" t="s">
        <v>297</v>
      </c>
      <c r="B467" s="13"/>
      <c r="C467" s="13" t="s">
        <v>1136</v>
      </c>
      <c r="D467" s="101" t="s">
        <v>1814</v>
      </c>
      <c r="E467" s="102"/>
      <c r="F467" s="13" t="s">
        <v>2384</v>
      </c>
      <c r="G467" s="21">
        <v>1</v>
      </c>
      <c r="H467" s="72">
        <v>0</v>
      </c>
      <c r="I467" s="39"/>
    </row>
    <row r="468" spans="1:9" x14ac:dyDescent="0.3">
      <c r="A468" s="4" t="s">
        <v>298</v>
      </c>
      <c r="B468" s="13"/>
      <c r="C468" s="13" t="s">
        <v>1136</v>
      </c>
      <c r="D468" s="101" t="s">
        <v>1859</v>
      </c>
      <c r="E468" s="102"/>
      <c r="F468" s="13" t="s">
        <v>2384</v>
      </c>
      <c r="G468" s="21">
        <v>1</v>
      </c>
      <c r="H468" s="72">
        <v>0</v>
      </c>
      <c r="I468" s="39"/>
    </row>
    <row r="469" spans="1:9" x14ac:dyDescent="0.3">
      <c r="A469" s="4" t="s">
        <v>299</v>
      </c>
      <c r="B469" s="13"/>
      <c r="C469" s="13" t="s">
        <v>1136</v>
      </c>
      <c r="D469" s="101" t="s">
        <v>1859</v>
      </c>
      <c r="E469" s="102"/>
      <c r="F469" s="13" t="s">
        <v>2384</v>
      </c>
      <c r="G469" s="21">
        <v>2</v>
      </c>
      <c r="H469" s="72">
        <v>0</v>
      </c>
      <c r="I469" s="39"/>
    </row>
    <row r="470" spans="1:9" x14ac:dyDescent="0.3">
      <c r="A470" s="4" t="s">
        <v>300</v>
      </c>
      <c r="B470" s="13"/>
      <c r="C470" s="13" t="s">
        <v>1136</v>
      </c>
      <c r="D470" s="101" t="s">
        <v>1816</v>
      </c>
      <c r="E470" s="102"/>
      <c r="F470" s="13" t="s">
        <v>2384</v>
      </c>
      <c r="G470" s="21">
        <v>1</v>
      </c>
      <c r="H470" s="72">
        <v>0</v>
      </c>
      <c r="I470" s="39"/>
    </row>
    <row r="471" spans="1:9" x14ac:dyDescent="0.3">
      <c r="A471" s="4" t="s">
        <v>301</v>
      </c>
      <c r="B471" s="13"/>
      <c r="C471" s="13" t="s">
        <v>1136</v>
      </c>
      <c r="D471" s="101" t="s">
        <v>1816</v>
      </c>
      <c r="E471" s="102"/>
      <c r="F471" s="13" t="s">
        <v>2384</v>
      </c>
      <c r="G471" s="21">
        <v>7</v>
      </c>
      <c r="H471" s="72">
        <v>0</v>
      </c>
      <c r="I471" s="39"/>
    </row>
    <row r="472" spans="1:9" x14ac:dyDescent="0.3">
      <c r="A472" s="4" t="s">
        <v>302</v>
      </c>
      <c r="B472" s="13"/>
      <c r="C472" s="13" t="s">
        <v>1136</v>
      </c>
      <c r="D472" s="101" t="s">
        <v>1816</v>
      </c>
      <c r="E472" s="102"/>
      <c r="F472" s="13" t="s">
        <v>2384</v>
      </c>
      <c r="G472" s="21">
        <v>2</v>
      </c>
      <c r="H472" s="72">
        <v>0</v>
      </c>
      <c r="I472" s="39"/>
    </row>
    <row r="473" spans="1:9" x14ac:dyDescent="0.3">
      <c r="A473" s="4" t="s">
        <v>303</v>
      </c>
      <c r="B473" s="13"/>
      <c r="C473" s="13" t="s">
        <v>1136</v>
      </c>
      <c r="D473" s="101" t="s">
        <v>1845</v>
      </c>
      <c r="E473" s="102"/>
      <c r="F473" s="13" t="s">
        <v>2384</v>
      </c>
      <c r="G473" s="21">
        <v>1</v>
      </c>
      <c r="H473" s="72">
        <v>0</v>
      </c>
      <c r="I473" s="39"/>
    </row>
    <row r="474" spans="1:9" x14ac:dyDescent="0.3">
      <c r="A474" s="4" t="s">
        <v>304</v>
      </c>
      <c r="B474" s="13"/>
      <c r="C474" s="13" t="s">
        <v>1136</v>
      </c>
      <c r="D474" s="101" t="s">
        <v>1823</v>
      </c>
      <c r="E474" s="102"/>
      <c r="F474" s="13" t="s">
        <v>2384</v>
      </c>
      <c r="G474" s="21">
        <v>1</v>
      </c>
      <c r="H474" s="72">
        <v>0</v>
      </c>
      <c r="I474" s="39"/>
    </row>
    <row r="475" spans="1:9" x14ac:dyDescent="0.3">
      <c r="A475" s="4" t="s">
        <v>305</v>
      </c>
      <c r="B475" s="13"/>
      <c r="C475" s="13" t="s">
        <v>1136</v>
      </c>
      <c r="D475" s="101" t="s">
        <v>1825</v>
      </c>
      <c r="E475" s="102"/>
      <c r="F475" s="13" t="s">
        <v>2384</v>
      </c>
      <c r="G475" s="21">
        <v>2</v>
      </c>
      <c r="H475" s="72">
        <v>0</v>
      </c>
      <c r="I475" s="39"/>
    </row>
    <row r="476" spans="1:9" x14ac:dyDescent="0.3">
      <c r="A476" s="4" t="s">
        <v>306</v>
      </c>
      <c r="B476" s="13"/>
      <c r="C476" s="13" t="s">
        <v>1136</v>
      </c>
      <c r="D476" s="101" t="s">
        <v>1823</v>
      </c>
      <c r="E476" s="102"/>
      <c r="F476" s="13" t="s">
        <v>2384</v>
      </c>
      <c r="G476" s="21">
        <v>1</v>
      </c>
      <c r="H476" s="72">
        <v>0</v>
      </c>
      <c r="I476" s="39"/>
    </row>
    <row r="477" spans="1:9" x14ac:dyDescent="0.3">
      <c r="A477" s="4" t="s">
        <v>307</v>
      </c>
      <c r="B477" s="13"/>
      <c r="C477" s="13" t="s">
        <v>1136</v>
      </c>
      <c r="D477" s="101" t="s">
        <v>1823</v>
      </c>
      <c r="E477" s="102"/>
      <c r="F477" s="13" t="s">
        <v>2384</v>
      </c>
      <c r="G477" s="21">
        <v>2</v>
      </c>
      <c r="H477" s="72">
        <v>0</v>
      </c>
      <c r="I477" s="39"/>
    </row>
    <row r="478" spans="1:9" x14ac:dyDescent="0.3">
      <c r="A478" s="4" t="s">
        <v>308</v>
      </c>
      <c r="B478" s="13"/>
      <c r="C478" s="13" t="s">
        <v>1136</v>
      </c>
      <c r="D478" s="101" t="s">
        <v>1846</v>
      </c>
      <c r="E478" s="102"/>
      <c r="F478" s="13" t="s">
        <v>2384</v>
      </c>
      <c r="G478" s="21">
        <v>2</v>
      </c>
      <c r="H478" s="72">
        <v>0</v>
      </c>
      <c r="I478" s="39"/>
    </row>
    <row r="479" spans="1:9" x14ac:dyDescent="0.3">
      <c r="A479" s="4" t="s">
        <v>309</v>
      </c>
      <c r="B479" s="13"/>
      <c r="C479" s="13" t="s">
        <v>1136</v>
      </c>
      <c r="D479" s="101" t="s">
        <v>1847</v>
      </c>
      <c r="E479" s="102"/>
      <c r="F479" s="13" t="s">
        <v>2384</v>
      </c>
      <c r="G479" s="21">
        <v>8</v>
      </c>
      <c r="H479" s="72">
        <v>0</v>
      </c>
      <c r="I479" s="39"/>
    </row>
    <row r="480" spans="1:9" x14ac:dyDescent="0.3">
      <c r="A480" s="4" t="s">
        <v>310</v>
      </c>
      <c r="B480" s="13"/>
      <c r="C480" s="13" t="s">
        <v>1136</v>
      </c>
      <c r="D480" s="101" t="s">
        <v>1823</v>
      </c>
      <c r="E480" s="102"/>
      <c r="F480" s="13" t="s">
        <v>2384</v>
      </c>
      <c r="G480" s="21">
        <v>1</v>
      </c>
      <c r="H480" s="72">
        <v>0</v>
      </c>
      <c r="I480" s="39"/>
    </row>
    <row r="481" spans="1:9" x14ac:dyDescent="0.3">
      <c r="A481" s="4" t="s">
        <v>311</v>
      </c>
      <c r="B481" s="13"/>
      <c r="C481" s="13" t="s">
        <v>1136</v>
      </c>
      <c r="D481" s="101" t="s">
        <v>1848</v>
      </c>
      <c r="E481" s="102"/>
      <c r="F481" s="13" t="s">
        <v>2384</v>
      </c>
      <c r="G481" s="21">
        <v>3</v>
      </c>
      <c r="H481" s="72">
        <v>0</v>
      </c>
      <c r="I481" s="39"/>
    </row>
    <row r="482" spans="1:9" x14ac:dyDescent="0.3">
      <c r="A482" s="4" t="s">
        <v>312</v>
      </c>
      <c r="B482" s="13"/>
      <c r="C482" s="13" t="s">
        <v>1136</v>
      </c>
      <c r="D482" s="101" t="s">
        <v>1824</v>
      </c>
      <c r="E482" s="102"/>
      <c r="F482" s="13" t="s">
        <v>2384</v>
      </c>
      <c r="G482" s="21">
        <v>1</v>
      </c>
      <c r="H482" s="72">
        <v>0</v>
      </c>
      <c r="I482" s="39"/>
    </row>
    <row r="483" spans="1:9" x14ac:dyDescent="0.3">
      <c r="A483" s="4" t="s">
        <v>313</v>
      </c>
      <c r="B483" s="13"/>
      <c r="C483" s="13" t="s">
        <v>1136</v>
      </c>
      <c r="D483" s="101" t="s">
        <v>1824</v>
      </c>
      <c r="E483" s="102"/>
      <c r="F483" s="13" t="s">
        <v>2384</v>
      </c>
      <c r="G483" s="21">
        <v>2</v>
      </c>
      <c r="H483" s="72">
        <v>0</v>
      </c>
      <c r="I483" s="39"/>
    </row>
    <row r="484" spans="1:9" x14ac:dyDescent="0.3">
      <c r="A484" s="4" t="s">
        <v>314</v>
      </c>
      <c r="B484" s="13"/>
      <c r="C484" s="13" t="s">
        <v>1136</v>
      </c>
      <c r="D484" s="101" t="s">
        <v>1849</v>
      </c>
      <c r="E484" s="102"/>
      <c r="F484" s="13" t="s">
        <v>2384</v>
      </c>
      <c r="G484" s="21">
        <v>12</v>
      </c>
      <c r="H484" s="72">
        <v>0</v>
      </c>
      <c r="I484" s="39"/>
    </row>
    <row r="485" spans="1:9" x14ac:dyDescent="0.3">
      <c r="A485" s="4" t="s">
        <v>315</v>
      </c>
      <c r="B485" s="13"/>
      <c r="C485" s="13" t="s">
        <v>1136</v>
      </c>
      <c r="D485" s="101" t="s">
        <v>1850</v>
      </c>
      <c r="E485" s="102"/>
      <c r="F485" s="13" t="s">
        <v>2384</v>
      </c>
      <c r="G485" s="21">
        <v>1</v>
      </c>
      <c r="H485" s="72">
        <v>0</v>
      </c>
      <c r="I485" s="39"/>
    </row>
    <row r="486" spans="1:9" x14ac:dyDescent="0.3">
      <c r="A486" s="4" t="s">
        <v>316</v>
      </c>
      <c r="B486" s="13"/>
      <c r="C486" s="13" t="s">
        <v>1136</v>
      </c>
      <c r="D486" s="101" t="s">
        <v>1820</v>
      </c>
      <c r="E486" s="102"/>
      <c r="F486" s="13" t="s">
        <v>2384</v>
      </c>
      <c r="G486" s="21">
        <v>6</v>
      </c>
      <c r="H486" s="72">
        <v>0</v>
      </c>
      <c r="I486" s="39"/>
    </row>
    <row r="487" spans="1:9" x14ac:dyDescent="0.3">
      <c r="A487" s="4" t="s">
        <v>317</v>
      </c>
      <c r="B487" s="13"/>
      <c r="C487" s="13" t="s">
        <v>1136</v>
      </c>
      <c r="D487" s="101" t="s">
        <v>1820</v>
      </c>
      <c r="E487" s="102"/>
      <c r="F487" s="13" t="s">
        <v>2384</v>
      </c>
      <c r="G487" s="21">
        <v>1</v>
      </c>
      <c r="H487" s="72">
        <v>0</v>
      </c>
      <c r="I487" s="39"/>
    </row>
    <row r="488" spans="1:9" x14ac:dyDescent="0.3">
      <c r="A488" s="4" t="s">
        <v>318</v>
      </c>
      <c r="B488" s="13"/>
      <c r="C488" s="13" t="s">
        <v>1136</v>
      </c>
      <c r="D488" s="101" t="s">
        <v>1860</v>
      </c>
      <c r="E488" s="102"/>
      <c r="F488" s="13" t="s">
        <v>2384</v>
      </c>
      <c r="G488" s="21">
        <v>1</v>
      </c>
      <c r="H488" s="72">
        <v>0</v>
      </c>
      <c r="I488" s="39"/>
    </row>
    <row r="489" spans="1:9" x14ac:dyDescent="0.3">
      <c r="A489" s="4" t="s">
        <v>319</v>
      </c>
      <c r="B489" s="13"/>
      <c r="C489" s="13" t="s">
        <v>1136</v>
      </c>
      <c r="D489" s="101" t="s">
        <v>1851</v>
      </c>
      <c r="E489" s="102"/>
      <c r="F489" s="13" t="s">
        <v>2384</v>
      </c>
      <c r="G489" s="21">
        <v>3</v>
      </c>
      <c r="H489" s="72">
        <v>0</v>
      </c>
      <c r="I489" s="39"/>
    </row>
    <row r="490" spans="1:9" x14ac:dyDescent="0.3">
      <c r="A490" s="4" t="s">
        <v>320</v>
      </c>
      <c r="B490" s="13"/>
      <c r="C490" s="13" t="s">
        <v>1136</v>
      </c>
      <c r="D490" s="101" t="s">
        <v>1821</v>
      </c>
      <c r="E490" s="102"/>
      <c r="F490" s="13" t="s">
        <v>2384</v>
      </c>
      <c r="G490" s="21">
        <v>14</v>
      </c>
      <c r="H490" s="72">
        <v>0</v>
      </c>
      <c r="I490" s="39"/>
    </row>
    <row r="491" spans="1:9" x14ac:dyDescent="0.3">
      <c r="A491" s="4" t="s">
        <v>321</v>
      </c>
      <c r="B491" s="13"/>
      <c r="C491" s="13" t="s">
        <v>1136</v>
      </c>
      <c r="D491" s="101" t="s">
        <v>1822</v>
      </c>
      <c r="E491" s="102"/>
      <c r="F491" s="13" t="s">
        <v>2384</v>
      </c>
      <c r="G491" s="21">
        <v>3</v>
      </c>
      <c r="H491" s="72">
        <v>0</v>
      </c>
      <c r="I491" s="39"/>
    </row>
    <row r="492" spans="1:9" x14ac:dyDescent="0.3">
      <c r="A492" s="4" t="s">
        <v>322</v>
      </c>
      <c r="B492" s="13"/>
      <c r="C492" s="13" t="s">
        <v>1136</v>
      </c>
      <c r="D492" s="101" t="s">
        <v>1854</v>
      </c>
      <c r="E492" s="102"/>
      <c r="F492" s="13" t="s">
        <v>2384</v>
      </c>
      <c r="G492" s="21">
        <v>23</v>
      </c>
      <c r="H492" s="72">
        <v>0</v>
      </c>
      <c r="I492" s="39"/>
    </row>
    <row r="493" spans="1:9" x14ac:dyDescent="0.3">
      <c r="A493" s="4" t="s">
        <v>323</v>
      </c>
      <c r="B493" s="13"/>
      <c r="C493" s="13" t="s">
        <v>1136</v>
      </c>
      <c r="D493" s="101" t="s">
        <v>1861</v>
      </c>
      <c r="E493" s="102"/>
      <c r="F493" s="13" t="s">
        <v>2384</v>
      </c>
      <c r="G493" s="21">
        <v>1</v>
      </c>
      <c r="H493" s="72">
        <v>0</v>
      </c>
      <c r="I493" s="39"/>
    </row>
    <row r="494" spans="1:9" x14ac:dyDescent="0.3">
      <c r="A494" s="4" t="s">
        <v>324</v>
      </c>
      <c r="B494" s="13"/>
      <c r="C494" s="13" t="s">
        <v>1136</v>
      </c>
      <c r="D494" s="101" t="s">
        <v>1828</v>
      </c>
      <c r="E494" s="102"/>
      <c r="F494" s="13" t="s">
        <v>2384</v>
      </c>
      <c r="G494" s="21">
        <v>1</v>
      </c>
      <c r="H494" s="72">
        <v>0</v>
      </c>
      <c r="I494" s="39"/>
    </row>
    <row r="495" spans="1:9" x14ac:dyDescent="0.3">
      <c r="A495" s="4" t="s">
        <v>325</v>
      </c>
      <c r="B495" s="13"/>
      <c r="C495" s="13" t="s">
        <v>1136</v>
      </c>
      <c r="D495" s="101" t="s">
        <v>1828</v>
      </c>
      <c r="E495" s="102"/>
      <c r="F495" s="13" t="s">
        <v>2384</v>
      </c>
      <c r="G495" s="21">
        <v>1</v>
      </c>
      <c r="H495" s="72">
        <v>0</v>
      </c>
      <c r="I495" s="39"/>
    </row>
    <row r="496" spans="1:9" x14ac:dyDescent="0.3">
      <c r="A496" s="4" t="s">
        <v>326</v>
      </c>
      <c r="B496" s="13"/>
      <c r="C496" s="13" t="s">
        <v>1136</v>
      </c>
      <c r="D496" s="101" t="s">
        <v>1862</v>
      </c>
      <c r="E496" s="102"/>
      <c r="F496" s="13" t="s">
        <v>2384</v>
      </c>
      <c r="G496" s="21">
        <v>3</v>
      </c>
      <c r="H496" s="72">
        <v>0</v>
      </c>
      <c r="I496" s="39"/>
    </row>
    <row r="497" spans="1:9" x14ac:dyDescent="0.3">
      <c r="A497" s="4" t="s">
        <v>327</v>
      </c>
      <c r="B497" s="13"/>
      <c r="C497" s="13" t="s">
        <v>1136</v>
      </c>
      <c r="D497" s="101" t="s">
        <v>1826</v>
      </c>
      <c r="E497" s="102"/>
      <c r="F497" s="13" t="s">
        <v>2384</v>
      </c>
      <c r="G497" s="21">
        <v>1</v>
      </c>
      <c r="H497" s="72">
        <v>0</v>
      </c>
      <c r="I497" s="39"/>
    </row>
    <row r="498" spans="1:9" x14ac:dyDescent="0.3">
      <c r="A498" s="4" t="s">
        <v>328</v>
      </c>
      <c r="B498" s="13"/>
      <c r="C498" s="13" t="s">
        <v>1136</v>
      </c>
      <c r="D498" s="101" t="s">
        <v>1830</v>
      </c>
      <c r="E498" s="102"/>
      <c r="F498" s="13" t="s">
        <v>2387</v>
      </c>
      <c r="G498" s="21">
        <v>113</v>
      </c>
      <c r="H498" s="72">
        <v>0</v>
      </c>
      <c r="I498" s="39"/>
    </row>
    <row r="499" spans="1:9" x14ac:dyDescent="0.3">
      <c r="A499" s="4" t="s">
        <v>329</v>
      </c>
      <c r="B499" s="13"/>
      <c r="C499" s="13" t="s">
        <v>1136</v>
      </c>
      <c r="D499" s="101" t="s">
        <v>1831</v>
      </c>
      <c r="E499" s="102"/>
      <c r="F499" s="13" t="s">
        <v>2394</v>
      </c>
      <c r="G499" s="21">
        <v>6</v>
      </c>
      <c r="H499" s="72">
        <v>0</v>
      </c>
      <c r="I499" s="39"/>
    </row>
    <row r="500" spans="1:9" x14ac:dyDescent="0.3">
      <c r="A500" s="4" t="s">
        <v>330</v>
      </c>
      <c r="B500" s="13"/>
      <c r="C500" s="13" t="s">
        <v>1136</v>
      </c>
      <c r="D500" s="101" t="s">
        <v>1832</v>
      </c>
      <c r="E500" s="102"/>
      <c r="F500" s="13" t="s">
        <v>2394</v>
      </c>
      <c r="G500" s="21">
        <v>21</v>
      </c>
      <c r="H500" s="72">
        <v>0</v>
      </c>
      <c r="I500" s="39"/>
    </row>
    <row r="501" spans="1:9" x14ac:dyDescent="0.3">
      <c r="A501" s="4" t="s">
        <v>331</v>
      </c>
      <c r="B501" s="13"/>
      <c r="C501" s="13" t="s">
        <v>1136</v>
      </c>
      <c r="D501" s="101" t="s">
        <v>1833</v>
      </c>
      <c r="E501" s="102"/>
      <c r="F501" s="13" t="s">
        <v>2394</v>
      </c>
      <c r="G501" s="21">
        <v>54</v>
      </c>
      <c r="H501" s="72">
        <v>0</v>
      </c>
      <c r="I501" s="39"/>
    </row>
    <row r="502" spans="1:9" x14ac:dyDescent="0.3">
      <c r="A502" s="4" t="s">
        <v>332</v>
      </c>
      <c r="B502" s="13"/>
      <c r="C502" s="13" t="s">
        <v>1136</v>
      </c>
      <c r="D502" s="101" t="s">
        <v>1834</v>
      </c>
      <c r="E502" s="102"/>
      <c r="F502" s="13" t="s">
        <v>2394</v>
      </c>
      <c r="G502" s="21">
        <v>39</v>
      </c>
      <c r="H502" s="72">
        <v>0</v>
      </c>
      <c r="I502" s="39"/>
    </row>
    <row r="503" spans="1:9" x14ac:dyDescent="0.3">
      <c r="A503" s="4" t="s">
        <v>333</v>
      </c>
      <c r="B503" s="13"/>
      <c r="C503" s="13" t="s">
        <v>1136</v>
      </c>
      <c r="D503" s="101" t="s">
        <v>1855</v>
      </c>
      <c r="E503" s="102"/>
      <c r="F503" s="13" t="s">
        <v>2394</v>
      </c>
      <c r="G503" s="21">
        <v>2</v>
      </c>
      <c r="H503" s="72">
        <v>0</v>
      </c>
      <c r="I503" s="39"/>
    </row>
    <row r="504" spans="1:9" x14ac:dyDescent="0.3">
      <c r="A504" s="4" t="s">
        <v>334</v>
      </c>
      <c r="B504" s="13"/>
      <c r="C504" s="13" t="s">
        <v>1136</v>
      </c>
      <c r="D504" s="101" t="s">
        <v>1838</v>
      </c>
      <c r="E504" s="102"/>
      <c r="F504" s="13" t="s">
        <v>2394</v>
      </c>
      <c r="G504" s="21">
        <v>4</v>
      </c>
      <c r="H504" s="72">
        <v>0</v>
      </c>
      <c r="I504" s="39"/>
    </row>
    <row r="505" spans="1:9" x14ac:dyDescent="0.3">
      <c r="A505" s="4" t="s">
        <v>335</v>
      </c>
      <c r="B505" s="13"/>
      <c r="C505" s="13" t="s">
        <v>1136</v>
      </c>
      <c r="D505" s="101" t="s">
        <v>1837</v>
      </c>
      <c r="E505" s="102"/>
      <c r="F505" s="13" t="s">
        <v>2394</v>
      </c>
      <c r="G505" s="21">
        <v>19</v>
      </c>
      <c r="H505" s="72">
        <v>0</v>
      </c>
      <c r="I505" s="39"/>
    </row>
    <row r="506" spans="1:9" x14ac:dyDescent="0.3">
      <c r="A506" s="4" t="s">
        <v>336</v>
      </c>
      <c r="B506" s="13"/>
      <c r="C506" s="13" t="s">
        <v>1136</v>
      </c>
      <c r="D506" s="101" t="s">
        <v>1856</v>
      </c>
      <c r="E506" s="102"/>
      <c r="F506" s="13" t="s">
        <v>2394</v>
      </c>
      <c r="G506" s="21">
        <v>11</v>
      </c>
      <c r="H506" s="72">
        <v>0</v>
      </c>
      <c r="I506" s="39"/>
    </row>
    <row r="507" spans="1:9" x14ac:dyDescent="0.3">
      <c r="A507" s="4" t="s">
        <v>337</v>
      </c>
      <c r="B507" s="13"/>
      <c r="C507" s="13" t="s">
        <v>1136</v>
      </c>
      <c r="D507" s="101" t="s">
        <v>1839</v>
      </c>
      <c r="E507" s="102"/>
      <c r="F507" s="13" t="s">
        <v>2387</v>
      </c>
      <c r="G507" s="21">
        <v>18</v>
      </c>
      <c r="H507" s="72">
        <v>0</v>
      </c>
      <c r="I507" s="39"/>
    </row>
    <row r="508" spans="1:9" x14ac:dyDescent="0.3">
      <c r="A508" s="4" t="s">
        <v>338</v>
      </c>
      <c r="B508" s="13"/>
      <c r="C508" s="13" t="s">
        <v>1136</v>
      </c>
      <c r="D508" s="101" t="s">
        <v>1738</v>
      </c>
      <c r="E508" s="102"/>
      <c r="F508" s="13" t="s">
        <v>2386</v>
      </c>
      <c r="G508" s="21">
        <v>1</v>
      </c>
      <c r="H508" s="72">
        <v>0</v>
      </c>
      <c r="I508" s="39"/>
    </row>
    <row r="509" spans="1:9" x14ac:dyDescent="0.3">
      <c r="A509" s="4" t="s">
        <v>339</v>
      </c>
      <c r="B509" s="13"/>
      <c r="C509" s="13" t="s">
        <v>1136</v>
      </c>
      <c r="D509" s="101" t="s">
        <v>1741</v>
      </c>
      <c r="E509" s="102"/>
      <c r="F509" s="13" t="s">
        <v>2386</v>
      </c>
      <c r="G509" s="21">
        <v>1</v>
      </c>
      <c r="H509" s="72">
        <v>0</v>
      </c>
      <c r="I509" s="39"/>
    </row>
    <row r="510" spans="1:9" x14ac:dyDescent="0.3">
      <c r="A510" s="4" t="s">
        <v>340</v>
      </c>
      <c r="B510" s="13"/>
      <c r="C510" s="13" t="s">
        <v>1136</v>
      </c>
      <c r="D510" s="101" t="s">
        <v>1863</v>
      </c>
      <c r="E510" s="102"/>
      <c r="F510" s="13" t="s">
        <v>2386</v>
      </c>
      <c r="G510" s="21">
        <v>1</v>
      </c>
      <c r="H510" s="72">
        <v>0</v>
      </c>
      <c r="I510" s="39"/>
    </row>
    <row r="511" spans="1:9" x14ac:dyDescent="0.3">
      <c r="A511" s="4" t="s">
        <v>341</v>
      </c>
      <c r="B511" s="13"/>
      <c r="C511" s="13" t="s">
        <v>1136</v>
      </c>
      <c r="D511" s="101" t="s">
        <v>1742</v>
      </c>
      <c r="E511" s="102"/>
      <c r="F511" s="13" t="s">
        <v>2386</v>
      </c>
      <c r="G511" s="21">
        <v>1</v>
      </c>
      <c r="H511" s="72">
        <v>0</v>
      </c>
      <c r="I511" s="39"/>
    </row>
    <row r="512" spans="1:9" x14ac:dyDescent="0.3">
      <c r="A512" s="4" t="s">
        <v>342</v>
      </c>
      <c r="B512" s="13"/>
      <c r="C512" s="13" t="s">
        <v>1136</v>
      </c>
      <c r="D512" s="101" t="s">
        <v>1743</v>
      </c>
      <c r="E512" s="102"/>
      <c r="F512" s="13" t="s">
        <v>2386</v>
      </c>
      <c r="G512" s="21">
        <v>1</v>
      </c>
      <c r="H512" s="72">
        <v>0</v>
      </c>
      <c r="I512" s="39"/>
    </row>
    <row r="513" spans="1:9" x14ac:dyDescent="0.3">
      <c r="A513" s="4" t="s">
        <v>343</v>
      </c>
      <c r="B513" s="13"/>
      <c r="C513" s="13" t="s">
        <v>1136</v>
      </c>
      <c r="D513" s="101" t="s">
        <v>1744</v>
      </c>
      <c r="E513" s="102"/>
      <c r="F513" s="13" t="s">
        <v>2386</v>
      </c>
      <c r="G513" s="21">
        <v>1</v>
      </c>
      <c r="H513" s="72">
        <v>0</v>
      </c>
      <c r="I513" s="39"/>
    </row>
    <row r="514" spans="1:9" x14ac:dyDescent="0.3">
      <c r="A514" s="4" t="s">
        <v>344</v>
      </c>
      <c r="B514" s="13"/>
      <c r="C514" s="13" t="s">
        <v>1136</v>
      </c>
      <c r="D514" s="101" t="s">
        <v>1746</v>
      </c>
      <c r="E514" s="102"/>
      <c r="F514" s="13" t="s">
        <v>2386</v>
      </c>
      <c r="G514" s="21">
        <v>1</v>
      </c>
      <c r="H514" s="72">
        <v>0</v>
      </c>
      <c r="I514" s="39"/>
    </row>
    <row r="515" spans="1:9" x14ac:dyDescent="0.3">
      <c r="A515" s="4" t="s">
        <v>345</v>
      </c>
      <c r="B515" s="13"/>
      <c r="C515" s="13" t="s">
        <v>1136</v>
      </c>
      <c r="D515" s="101" t="s">
        <v>1745</v>
      </c>
      <c r="E515" s="102"/>
      <c r="F515" s="13" t="s">
        <v>2386</v>
      </c>
      <c r="G515" s="21">
        <v>1</v>
      </c>
      <c r="H515" s="72">
        <v>0</v>
      </c>
      <c r="I515" s="39"/>
    </row>
    <row r="516" spans="1:9" x14ac:dyDescent="0.3">
      <c r="A516" s="4" t="s">
        <v>346</v>
      </c>
      <c r="B516" s="13"/>
      <c r="C516" s="13" t="s">
        <v>1136</v>
      </c>
      <c r="D516" s="101" t="s">
        <v>1864</v>
      </c>
      <c r="E516" s="102"/>
      <c r="F516" s="13" t="s">
        <v>2386</v>
      </c>
      <c r="G516" s="21">
        <v>1</v>
      </c>
      <c r="H516" s="72">
        <v>0</v>
      </c>
      <c r="I516" s="39"/>
    </row>
    <row r="517" spans="1:9" x14ac:dyDescent="0.3">
      <c r="A517" s="4" t="s">
        <v>347</v>
      </c>
      <c r="B517" s="13"/>
      <c r="C517" s="13" t="s">
        <v>1136</v>
      </c>
      <c r="D517" s="101" t="s">
        <v>1865</v>
      </c>
      <c r="E517" s="102"/>
      <c r="F517" s="13" t="s">
        <v>2386</v>
      </c>
      <c r="G517" s="21">
        <v>1</v>
      </c>
      <c r="H517" s="72">
        <v>0</v>
      </c>
      <c r="I517" s="39"/>
    </row>
    <row r="518" spans="1:9" x14ac:dyDescent="0.3">
      <c r="A518" s="66"/>
      <c r="B518" s="14"/>
      <c r="C518" s="14" t="s">
        <v>733</v>
      </c>
      <c r="D518" s="103" t="s">
        <v>1866</v>
      </c>
      <c r="E518" s="104"/>
      <c r="F518" s="14"/>
      <c r="G518" s="31"/>
      <c r="H518" s="36"/>
      <c r="I518" s="39"/>
    </row>
    <row r="519" spans="1:9" x14ac:dyDescent="0.3">
      <c r="A519" s="4" t="s">
        <v>348</v>
      </c>
      <c r="B519" s="13"/>
      <c r="C519" s="13" t="s">
        <v>1137</v>
      </c>
      <c r="D519" s="101" t="s">
        <v>1867</v>
      </c>
      <c r="E519" s="102"/>
      <c r="F519" s="13" t="s">
        <v>2386</v>
      </c>
      <c r="G519" s="21">
        <v>1</v>
      </c>
      <c r="H519" s="72">
        <v>0</v>
      </c>
      <c r="I519" s="39"/>
    </row>
    <row r="520" spans="1:9" x14ac:dyDescent="0.3">
      <c r="A520" s="4" t="s">
        <v>349</v>
      </c>
      <c r="B520" s="13"/>
      <c r="C520" s="13" t="s">
        <v>1137</v>
      </c>
      <c r="D520" s="101" t="s">
        <v>1868</v>
      </c>
      <c r="E520" s="102"/>
      <c r="F520" s="13" t="s">
        <v>2386</v>
      </c>
      <c r="G520" s="21">
        <v>1</v>
      </c>
      <c r="H520" s="72">
        <v>0</v>
      </c>
      <c r="I520" s="39"/>
    </row>
    <row r="521" spans="1:9" x14ac:dyDescent="0.3">
      <c r="A521" s="4" t="s">
        <v>350</v>
      </c>
      <c r="B521" s="13"/>
      <c r="C521" s="13" t="s">
        <v>1137</v>
      </c>
      <c r="D521" s="101" t="s">
        <v>1869</v>
      </c>
      <c r="E521" s="102"/>
      <c r="F521" s="13" t="s">
        <v>2386</v>
      </c>
      <c r="G521" s="21">
        <v>2</v>
      </c>
      <c r="H521" s="72">
        <v>0</v>
      </c>
      <c r="I521" s="39"/>
    </row>
    <row r="522" spans="1:9" x14ac:dyDescent="0.3">
      <c r="A522" s="4" t="s">
        <v>351</v>
      </c>
      <c r="B522" s="13"/>
      <c r="C522" s="13" t="s">
        <v>1137</v>
      </c>
      <c r="D522" s="101" t="s">
        <v>1870</v>
      </c>
      <c r="E522" s="102"/>
      <c r="F522" s="13" t="s">
        <v>2386</v>
      </c>
      <c r="G522" s="21">
        <v>2</v>
      </c>
      <c r="H522" s="72">
        <v>0</v>
      </c>
      <c r="I522" s="39"/>
    </row>
    <row r="523" spans="1:9" x14ac:dyDescent="0.3">
      <c r="A523" s="4" t="s">
        <v>352</v>
      </c>
      <c r="B523" s="13"/>
      <c r="C523" s="13" t="s">
        <v>1137</v>
      </c>
      <c r="D523" s="101" t="s">
        <v>1871</v>
      </c>
      <c r="E523" s="102"/>
      <c r="F523" s="13" t="s">
        <v>2386</v>
      </c>
      <c r="G523" s="21">
        <v>2</v>
      </c>
      <c r="H523" s="72">
        <v>0</v>
      </c>
      <c r="I523" s="39"/>
    </row>
    <row r="524" spans="1:9" x14ac:dyDescent="0.3">
      <c r="A524" s="4" t="s">
        <v>353</v>
      </c>
      <c r="B524" s="13"/>
      <c r="C524" s="13" t="s">
        <v>1137</v>
      </c>
      <c r="D524" s="101" t="s">
        <v>1872</v>
      </c>
      <c r="E524" s="102"/>
      <c r="F524" s="13" t="s">
        <v>2384</v>
      </c>
      <c r="G524" s="21">
        <v>8</v>
      </c>
      <c r="H524" s="72">
        <v>0</v>
      </c>
      <c r="I524" s="39"/>
    </row>
    <row r="525" spans="1:9" x14ac:dyDescent="0.3">
      <c r="A525" s="4" t="s">
        <v>354</v>
      </c>
      <c r="B525" s="13"/>
      <c r="C525" s="13" t="s">
        <v>1137</v>
      </c>
      <c r="D525" s="101" t="s">
        <v>1873</v>
      </c>
      <c r="E525" s="102"/>
      <c r="F525" s="13" t="s">
        <v>2384</v>
      </c>
      <c r="G525" s="21">
        <v>2</v>
      </c>
      <c r="H525" s="72">
        <v>0</v>
      </c>
      <c r="I525" s="39"/>
    </row>
    <row r="526" spans="1:9" x14ac:dyDescent="0.3">
      <c r="A526" s="4" t="s">
        <v>355</v>
      </c>
      <c r="B526" s="13"/>
      <c r="C526" s="13" t="s">
        <v>1137</v>
      </c>
      <c r="D526" s="101" t="s">
        <v>1874</v>
      </c>
      <c r="E526" s="102"/>
      <c r="F526" s="13" t="s">
        <v>2384</v>
      </c>
      <c r="G526" s="21">
        <v>2</v>
      </c>
      <c r="H526" s="72">
        <v>0</v>
      </c>
      <c r="I526" s="39"/>
    </row>
    <row r="527" spans="1:9" x14ac:dyDescent="0.3">
      <c r="A527" s="4" t="s">
        <v>356</v>
      </c>
      <c r="B527" s="13"/>
      <c r="C527" s="13" t="s">
        <v>1137</v>
      </c>
      <c r="D527" s="101" t="s">
        <v>1875</v>
      </c>
      <c r="E527" s="102"/>
      <c r="F527" s="13" t="s">
        <v>2386</v>
      </c>
      <c r="G527" s="21">
        <v>2</v>
      </c>
      <c r="H527" s="72">
        <v>0</v>
      </c>
      <c r="I527" s="39"/>
    </row>
    <row r="528" spans="1:9" x14ac:dyDescent="0.3">
      <c r="A528" s="4" t="s">
        <v>357</v>
      </c>
      <c r="B528" s="13"/>
      <c r="C528" s="13" t="s">
        <v>1137</v>
      </c>
      <c r="D528" s="101" t="s">
        <v>1876</v>
      </c>
      <c r="E528" s="102"/>
      <c r="F528" s="13" t="s">
        <v>2384</v>
      </c>
      <c r="G528" s="21">
        <v>4</v>
      </c>
      <c r="H528" s="72">
        <v>0</v>
      </c>
      <c r="I528" s="39"/>
    </row>
    <row r="529" spans="1:9" x14ac:dyDescent="0.3">
      <c r="A529" s="4" t="s">
        <v>358</v>
      </c>
      <c r="B529" s="13"/>
      <c r="C529" s="13" t="s">
        <v>1137</v>
      </c>
      <c r="D529" s="101" t="s">
        <v>1877</v>
      </c>
      <c r="E529" s="102"/>
      <c r="F529" s="13" t="s">
        <v>2384</v>
      </c>
      <c r="G529" s="21">
        <v>10</v>
      </c>
      <c r="H529" s="72">
        <v>0</v>
      </c>
      <c r="I529" s="39"/>
    </row>
    <row r="530" spans="1:9" x14ac:dyDescent="0.3">
      <c r="A530" s="4" t="s">
        <v>359</v>
      </c>
      <c r="B530" s="13"/>
      <c r="C530" s="13" t="s">
        <v>1137</v>
      </c>
      <c r="D530" s="101" t="s">
        <v>1878</v>
      </c>
      <c r="E530" s="102"/>
      <c r="F530" s="13" t="s">
        <v>2385</v>
      </c>
      <c r="G530" s="21">
        <v>67</v>
      </c>
      <c r="H530" s="72">
        <v>0</v>
      </c>
      <c r="I530" s="39"/>
    </row>
    <row r="531" spans="1:9" x14ac:dyDescent="0.3">
      <c r="A531" s="4" t="s">
        <v>360</v>
      </c>
      <c r="B531" s="13"/>
      <c r="C531" s="13" t="s">
        <v>1137</v>
      </c>
      <c r="D531" s="101" t="s">
        <v>1879</v>
      </c>
      <c r="E531" s="102"/>
      <c r="F531" s="13" t="s">
        <v>2384</v>
      </c>
      <c r="G531" s="21">
        <v>10</v>
      </c>
      <c r="H531" s="72">
        <v>0</v>
      </c>
      <c r="I531" s="39"/>
    </row>
    <row r="532" spans="1:9" x14ac:dyDescent="0.3">
      <c r="A532" s="4" t="s">
        <v>361</v>
      </c>
      <c r="B532" s="13"/>
      <c r="C532" s="13" t="s">
        <v>1137</v>
      </c>
      <c r="D532" s="101" t="s">
        <v>1880</v>
      </c>
      <c r="E532" s="102"/>
      <c r="F532" s="13" t="s">
        <v>2384</v>
      </c>
      <c r="G532" s="21">
        <v>12</v>
      </c>
      <c r="H532" s="72">
        <v>0</v>
      </c>
      <c r="I532" s="39"/>
    </row>
    <row r="533" spans="1:9" x14ac:dyDescent="0.3">
      <c r="A533" s="4" t="s">
        <v>362</v>
      </c>
      <c r="B533" s="13"/>
      <c r="C533" s="13" t="s">
        <v>1137</v>
      </c>
      <c r="D533" s="101" t="s">
        <v>1878</v>
      </c>
      <c r="E533" s="102"/>
      <c r="F533" s="13" t="s">
        <v>2385</v>
      </c>
      <c r="G533" s="21">
        <v>29</v>
      </c>
      <c r="H533" s="72">
        <v>0</v>
      </c>
      <c r="I533" s="39"/>
    </row>
    <row r="534" spans="1:9" x14ac:dyDescent="0.3">
      <c r="A534" s="4" t="s">
        <v>363</v>
      </c>
      <c r="B534" s="13"/>
      <c r="C534" s="13" t="s">
        <v>1137</v>
      </c>
      <c r="D534" s="101" t="s">
        <v>1878</v>
      </c>
      <c r="E534" s="102"/>
      <c r="F534" s="13" t="s">
        <v>2385</v>
      </c>
      <c r="G534" s="21">
        <v>3</v>
      </c>
      <c r="H534" s="72">
        <v>0</v>
      </c>
      <c r="I534" s="39"/>
    </row>
    <row r="535" spans="1:9" x14ac:dyDescent="0.3">
      <c r="A535" s="4" t="s">
        <v>364</v>
      </c>
      <c r="B535" s="13"/>
      <c r="C535" s="13" t="s">
        <v>1137</v>
      </c>
      <c r="D535" s="101" t="s">
        <v>1878</v>
      </c>
      <c r="E535" s="102"/>
      <c r="F535" s="13" t="s">
        <v>2385</v>
      </c>
      <c r="G535" s="21">
        <v>31</v>
      </c>
      <c r="H535" s="72">
        <v>0</v>
      </c>
      <c r="I535" s="39"/>
    </row>
    <row r="536" spans="1:9" x14ac:dyDescent="0.3">
      <c r="A536" s="4" t="s">
        <v>365</v>
      </c>
      <c r="B536" s="13"/>
      <c r="C536" s="13" t="s">
        <v>1137</v>
      </c>
      <c r="D536" s="101" t="s">
        <v>1881</v>
      </c>
      <c r="E536" s="102"/>
      <c r="F536" s="13" t="s">
        <v>2385</v>
      </c>
      <c r="G536" s="21">
        <v>67</v>
      </c>
      <c r="H536" s="72">
        <v>0</v>
      </c>
      <c r="I536" s="39"/>
    </row>
    <row r="537" spans="1:9" x14ac:dyDescent="0.3">
      <c r="A537" s="4" t="s">
        <v>366</v>
      </c>
      <c r="B537" s="13"/>
      <c r="C537" s="13" t="s">
        <v>1137</v>
      </c>
      <c r="D537" s="101" t="s">
        <v>1881</v>
      </c>
      <c r="E537" s="102"/>
      <c r="F537" s="13" t="s">
        <v>2385</v>
      </c>
      <c r="G537" s="21">
        <v>29</v>
      </c>
      <c r="H537" s="72">
        <v>0</v>
      </c>
      <c r="I537" s="39"/>
    </row>
    <row r="538" spans="1:9" x14ac:dyDescent="0.3">
      <c r="A538" s="4" t="s">
        <v>367</v>
      </c>
      <c r="B538" s="13"/>
      <c r="C538" s="13" t="s">
        <v>1137</v>
      </c>
      <c r="D538" s="101" t="s">
        <v>1881</v>
      </c>
      <c r="E538" s="102"/>
      <c r="F538" s="13" t="s">
        <v>2385</v>
      </c>
      <c r="G538" s="21">
        <v>3</v>
      </c>
      <c r="H538" s="72">
        <v>0</v>
      </c>
      <c r="I538" s="39"/>
    </row>
    <row r="539" spans="1:9" x14ac:dyDescent="0.3">
      <c r="A539" s="4" t="s">
        <v>368</v>
      </c>
      <c r="B539" s="13"/>
      <c r="C539" s="13" t="s">
        <v>1137</v>
      </c>
      <c r="D539" s="101" t="s">
        <v>1881</v>
      </c>
      <c r="E539" s="102"/>
      <c r="F539" s="13" t="s">
        <v>2385</v>
      </c>
      <c r="G539" s="21">
        <v>31</v>
      </c>
      <c r="H539" s="72">
        <v>0</v>
      </c>
      <c r="I539" s="39"/>
    </row>
    <row r="540" spans="1:9" x14ac:dyDescent="0.3">
      <c r="A540" s="4" t="s">
        <v>369</v>
      </c>
      <c r="B540" s="13"/>
      <c r="C540" s="13" t="s">
        <v>1137</v>
      </c>
      <c r="D540" s="101" t="s">
        <v>1882</v>
      </c>
      <c r="E540" s="102"/>
      <c r="F540" s="13" t="s">
        <v>2386</v>
      </c>
      <c r="G540" s="21">
        <v>1</v>
      </c>
      <c r="H540" s="72">
        <v>0</v>
      </c>
      <c r="I540" s="39"/>
    </row>
    <row r="541" spans="1:9" x14ac:dyDescent="0.3">
      <c r="A541" s="4" t="s">
        <v>370</v>
      </c>
      <c r="B541" s="13"/>
      <c r="C541" s="13" t="s">
        <v>1137</v>
      </c>
      <c r="D541" s="101" t="s">
        <v>1883</v>
      </c>
      <c r="E541" s="102"/>
      <c r="F541" s="13" t="s">
        <v>2386</v>
      </c>
      <c r="G541" s="21">
        <v>1</v>
      </c>
      <c r="H541" s="72">
        <v>0</v>
      </c>
      <c r="I541" s="39"/>
    </row>
    <row r="542" spans="1:9" x14ac:dyDescent="0.3">
      <c r="A542" s="4" t="s">
        <v>371</v>
      </c>
      <c r="B542" s="13"/>
      <c r="C542" s="13" t="s">
        <v>1137</v>
      </c>
      <c r="D542" s="101" t="s">
        <v>1884</v>
      </c>
      <c r="E542" s="102"/>
      <c r="F542" s="13" t="s">
        <v>2386</v>
      </c>
      <c r="G542" s="21">
        <v>1</v>
      </c>
      <c r="H542" s="72">
        <v>0</v>
      </c>
      <c r="I542" s="39"/>
    </row>
    <row r="543" spans="1:9" x14ac:dyDescent="0.3">
      <c r="A543" s="4" t="s">
        <v>372</v>
      </c>
      <c r="B543" s="13"/>
      <c r="C543" s="13" t="s">
        <v>1137</v>
      </c>
      <c r="D543" s="101" t="s">
        <v>1885</v>
      </c>
      <c r="E543" s="102"/>
      <c r="F543" s="13" t="s">
        <v>2386</v>
      </c>
      <c r="G543" s="21">
        <v>1</v>
      </c>
      <c r="H543" s="72">
        <v>0</v>
      </c>
      <c r="I543" s="39"/>
    </row>
    <row r="544" spans="1:9" x14ac:dyDescent="0.3">
      <c r="A544" s="4" t="s">
        <v>373</v>
      </c>
      <c r="B544" s="13"/>
      <c r="C544" s="13" t="s">
        <v>1137</v>
      </c>
      <c r="D544" s="101" t="s">
        <v>1886</v>
      </c>
      <c r="E544" s="102"/>
      <c r="F544" s="13" t="s">
        <v>2386</v>
      </c>
      <c r="G544" s="21">
        <v>1</v>
      </c>
      <c r="H544" s="72">
        <v>0</v>
      </c>
      <c r="I544" s="39"/>
    </row>
    <row r="545" spans="1:9" x14ac:dyDescent="0.3">
      <c r="A545" s="4" t="s">
        <v>374</v>
      </c>
      <c r="B545" s="13"/>
      <c r="C545" s="13" t="s">
        <v>1137</v>
      </c>
      <c r="D545" s="101" t="s">
        <v>1887</v>
      </c>
      <c r="E545" s="102"/>
      <c r="F545" s="13" t="s">
        <v>2386</v>
      </c>
      <c r="G545" s="21">
        <v>5</v>
      </c>
      <c r="H545" s="72">
        <v>0</v>
      </c>
      <c r="I545" s="39"/>
    </row>
    <row r="546" spans="1:9" x14ac:dyDescent="0.3">
      <c r="A546" s="4" t="s">
        <v>375</v>
      </c>
      <c r="B546" s="13"/>
      <c r="C546" s="13" t="s">
        <v>1137</v>
      </c>
      <c r="D546" s="101" t="s">
        <v>1888</v>
      </c>
      <c r="E546" s="102"/>
      <c r="F546" s="13" t="s">
        <v>2386</v>
      </c>
      <c r="G546" s="21">
        <v>5</v>
      </c>
      <c r="H546" s="72">
        <v>0</v>
      </c>
      <c r="I546" s="39"/>
    </row>
    <row r="547" spans="1:9" x14ac:dyDescent="0.3">
      <c r="A547" s="4" t="s">
        <v>376</v>
      </c>
      <c r="B547" s="13"/>
      <c r="C547" s="13" t="s">
        <v>1137</v>
      </c>
      <c r="D547" s="101" t="s">
        <v>1889</v>
      </c>
      <c r="E547" s="102"/>
      <c r="F547" s="13" t="s">
        <v>2384</v>
      </c>
      <c r="G547" s="21">
        <v>5</v>
      </c>
      <c r="H547" s="72">
        <v>0</v>
      </c>
      <c r="I547" s="39"/>
    </row>
    <row r="548" spans="1:9" x14ac:dyDescent="0.3">
      <c r="A548" s="4" t="s">
        <v>377</v>
      </c>
      <c r="B548" s="13"/>
      <c r="C548" s="13" t="s">
        <v>1137</v>
      </c>
      <c r="D548" s="101" t="s">
        <v>1890</v>
      </c>
      <c r="E548" s="102"/>
      <c r="F548" s="13" t="s">
        <v>2384</v>
      </c>
      <c r="G548" s="21">
        <v>8</v>
      </c>
      <c r="H548" s="72">
        <v>0</v>
      </c>
      <c r="I548" s="39"/>
    </row>
    <row r="549" spans="1:9" x14ac:dyDescent="0.3">
      <c r="A549" s="4" t="s">
        <v>378</v>
      </c>
      <c r="B549" s="13"/>
      <c r="C549" s="13" t="s">
        <v>1137</v>
      </c>
      <c r="D549" s="101" t="s">
        <v>1890</v>
      </c>
      <c r="E549" s="102"/>
      <c r="F549" s="13" t="s">
        <v>2384</v>
      </c>
      <c r="G549" s="21">
        <v>30</v>
      </c>
      <c r="H549" s="72">
        <v>0</v>
      </c>
      <c r="I549" s="39"/>
    </row>
    <row r="550" spans="1:9" x14ac:dyDescent="0.3">
      <c r="A550" s="4" t="s">
        <v>379</v>
      </c>
      <c r="B550" s="13"/>
      <c r="C550" s="13" t="s">
        <v>1137</v>
      </c>
      <c r="D550" s="101" t="s">
        <v>1890</v>
      </c>
      <c r="E550" s="102"/>
      <c r="F550" s="13" t="s">
        <v>2384</v>
      </c>
      <c r="G550" s="21">
        <v>2</v>
      </c>
      <c r="H550" s="72">
        <v>0</v>
      </c>
      <c r="I550" s="39"/>
    </row>
    <row r="551" spans="1:9" x14ac:dyDescent="0.3">
      <c r="A551" s="4" t="s">
        <v>380</v>
      </c>
      <c r="B551" s="13"/>
      <c r="C551" s="13" t="s">
        <v>1137</v>
      </c>
      <c r="D551" s="101" t="s">
        <v>1875</v>
      </c>
      <c r="E551" s="102"/>
      <c r="F551" s="13" t="s">
        <v>2386</v>
      </c>
      <c r="G551" s="21">
        <v>2</v>
      </c>
      <c r="H551" s="72">
        <v>0</v>
      </c>
      <c r="I551" s="39"/>
    </row>
    <row r="552" spans="1:9" x14ac:dyDescent="0.3">
      <c r="A552" s="4" t="s">
        <v>381</v>
      </c>
      <c r="B552" s="13"/>
      <c r="C552" s="13" t="s">
        <v>1137</v>
      </c>
      <c r="D552" s="101" t="s">
        <v>1876</v>
      </c>
      <c r="E552" s="102"/>
      <c r="F552" s="13" t="s">
        <v>2384</v>
      </c>
      <c r="G552" s="21">
        <v>13</v>
      </c>
      <c r="H552" s="72">
        <v>0</v>
      </c>
      <c r="I552" s="39"/>
    </row>
    <row r="553" spans="1:9" x14ac:dyDescent="0.3">
      <c r="A553" s="4" t="s">
        <v>382</v>
      </c>
      <c r="B553" s="13"/>
      <c r="C553" s="13" t="s">
        <v>1137</v>
      </c>
      <c r="D553" s="101" t="s">
        <v>1877</v>
      </c>
      <c r="E553" s="102"/>
      <c r="F553" s="13" t="s">
        <v>2384</v>
      </c>
      <c r="G553" s="21">
        <v>15</v>
      </c>
      <c r="H553" s="72">
        <v>0</v>
      </c>
      <c r="I553" s="39"/>
    </row>
    <row r="554" spans="1:9" x14ac:dyDescent="0.3">
      <c r="A554" s="4" t="s">
        <v>383</v>
      </c>
      <c r="B554" s="13"/>
      <c r="C554" s="13" t="s">
        <v>1137</v>
      </c>
      <c r="D554" s="101" t="s">
        <v>1879</v>
      </c>
      <c r="E554" s="102"/>
      <c r="F554" s="13" t="s">
        <v>2384</v>
      </c>
      <c r="G554" s="21">
        <v>15</v>
      </c>
      <c r="H554" s="72">
        <v>0</v>
      </c>
      <c r="I554" s="39"/>
    </row>
    <row r="555" spans="1:9" x14ac:dyDescent="0.3">
      <c r="A555" s="4" t="s">
        <v>384</v>
      </c>
      <c r="B555" s="13"/>
      <c r="C555" s="13" t="s">
        <v>1137</v>
      </c>
      <c r="D555" s="101" t="s">
        <v>1880</v>
      </c>
      <c r="E555" s="102"/>
      <c r="F555" s="13" t="s">
        <v>2384</v>
      </c>
      <c r="G555" s="21">
        <v>30</v>
      </c>
      <c r="H555" s="72">
        <v>0</v>
      </c>
      <c r="I555" s="39"/>
    </row>
    <row r="556" spans="1:9" x14ac:dyDescent="0.3">
      <c r="A556" s="4" t="s">
        <v>385</v>
      </c>
      <c r="B556" s="13"/>
      <c r="C556" s="13" t="s">
        <v>1137</v>
      </c>
      <c r="D556" s="101" t="s">
        <v>1878</v>
      </c>
      <c r="E556" s="102"/>
      <c r="F556" s="13" t="s">
        <v>2385</v>
      </c>
      <c r="G556" s="21">
        <v>2</v>
      </c>
      <c r="H556" s="72">
        <v>0</v>
      </c>
      <c r="I556" s="39"/>
    </row>
    <row r="557" spans="1:9" x14ac:dyDescent="0.3">
      <c r="A557" s="4" t="s">
        <v>386</v>
      </c>
      <c r="B557" s="13"/>
      <c r="C557" s="13" t="s">
        <v>1137</v>
      </c>
      <c r="D557" s="101" t="s">
        <v>1878</v>
      </c>
      <c r="E557" s="102"/>
      <c r="F557" s="13" t="s">
        <v>2385</v>
      </c>
      <c r="G557" s="21">
        <v>21</v>
      </c>
      <c r="H557" s="72">
        <v>0</v>
      </c>
      <c r="I557" s="39"/>
    </row>
    <row r="558" spans="1:9" x14ac:dyDescent="0.3">
      <c r="A558" s="4" t="s">
        <v>387</v>
      </c>
      <c r="B558" s="13"/>
      <c r="C558" s="13" t="s">
        <v>1137</v>
      </c>
      <c r="D558" s="101" t="s">
        <v>1881</v>
      </c>
      <c r="E558" s="102"/>
      <c r="F558" s="13" t="s">
        <v>2385</v>
      </c>
      <c r="G558" s="21">
        <v>2</v>
      </c>
      <c r="H558" s="72">
        <v>0</v>
      </c>
      <c r="I558" s="39"/>
    </row>
    <row r="559" spans="1:9" x14ac:dyDescent="0.3">
      <c r="A559" s="4" t="s">
        <v>388</v>
      </c>
      <c r="B559" s="13"/>
      <c r="C559" s="13" t="s">
        <v>1137</v>
      </c>
      <c r="D559" s="101" t="s">
        <v>1881</v>
      </c>
      <c r="E559" s="102"/>
      <c r="F559" s="13" t="s">
        <v>2385</v>
      </c>
      <c r="G559" s="21">
        <v>21</v>
      </c>
      <c r="H559" s="72">
        <v>0</v>
      </c>
      <c r="I559" s="39"/>
    </row>
    <row r="560" spans="1:9" x14ac:dyDescent="0.3">
      <c r="A560" s="4" t="s">
        <v>389</v>
      </c>
      <c r="B560" s="13"/>
      <c r="C560" s="13" t="s">
        <v>1137</v>
      </c>
      <c r="D560" s="101" t="s">
        <v>1891</v>
      </c>
      <c r="E560" s="102"/>
      <c r="F560" s="13" t="s">
        <v>2386</v>
      </c>
      <c r="G560" s="21">
        <v>1</v>
      </c>
      <c r="H560" s="72">
        <v>0</v>
      </c>
      <c r="I560" s="39"/>
    </row>
    <row r="561" spans="1:9" x14ac:dyDescent="0.3">
      <c r="A561" s="4" t="s">
        <v>390</v>
      </c>
      <c r="B561" s="13"/>
      <c r="C561" s="13" t="s">
        <v>1137</v>
      </c>
      <c r="D561" s="101" t="s">
        <v>1891</v>
      </c>
      <c r="E561" s="102"/>
      <c r="F561" s="13" t="s">
        <v>2386</v>
      </c>
      <c r="G561" s="21">
        <v>1</v>
      </c>
      <c r="H561" s="72">
        <v>0</v>
      </c>
      <c r="I561" s="39"/>
    </row>
    <row r="562" spans="1:9" x14ac:dyDescent="0.3">
      <c r="A562" s="4" t="s">
        <v>391</v>
      </c>
      <c r="B562" s="13"/>
      <c r="C562" s="13" t="s">
        <v>1137</v>
      </c>
      <c r="D562" s="101" t="s">
        <v>1867</v>
      </c>
      <c r="E562" s="102"/>
      <c r="F562" s="13" t="s">
        <v>2386</v>
      </c>
      <c r="G562" s="21">
        <v>1</v>
      </c>
      <c r="H562" s="72">
        <v>0</v>
      </c>
      <c r="I562" s="39"/>
    </row>
    <row r="563" spans="1:9" x14ac:dyDescent="0.3">
      <c r="A563" s="4" t="s">
        <v>392</v>
      </c>
      <c r="B563" s="13"/>
      <c r="C563" s="13" t="s">
        <v>1137</v>
      </c>
      <c r="D563" s="101" t="s">
        <v>1892</v>
      </c>
      <c r="E563" s="102"/>
      <c r="F563" s="13" t="s">
        <v>2386</v>
      </c>
      <c r="G563" s="21">
        <v>1</v>
      </c>
      <c r="H563" s="72">
        <v>0</v>
      </c>
      <c r="I563" s="39"/>
    </row>
    <row r="564" spans="1:9" x14ac:dyDescent="0.3">
      <c r="A564" s="4" t="s">
        <v>393</v>
      </c>
      <c r="B564" s="13"/>
      <c r="C564" s="13" t="s">
        <v>1137</v>
      </c>
      <c r="D564" s="101" t="s">
        <v>1893</v>
      </c>
      <c r="E564" s="102"/>
      <c r="F564" s="13" t="s">
        <v>2386</v>
      </c>
      <c r="G564" s="21">
        <v>1</v>
      </c>
      <c r="H564" s="72">
        <v>0</v>
      </c>
      <c r="I564" s="39"/>
    </row>
    <row r="565" spans="1:9" x14ac:dyDescent="0.3">
      <c r="A565" s="4" t="s">
        <v>394</v>
      </c>
      <c r="B565" s="13"/>
      <c r="C565" s="13" t="s">
        <v>1137</v>
      </c>
      <c r="D565" s="101" t="s">
        <v>1884</v>
      </c>
      <c r="E565" s="102"/>
      <c r="F565" s="13" t="s">
        <v>2386</v>
      </c>
      <c r="G565" s="21">
        <v>1</v>
      </c>
      <c r="H565" s="72">
        <v>0</v>
      </c>
      <c r="I565" s="39"/>
    </row>
    <row r="566" spans="1:9" x14ac:dyDescent="0.3">
      <c r="A566" s="4" t="s">
        <v>395</v>
      </c>
      <c r="B566" s="13"/>
      <c r="C566" s="13" t="s">
        <v>1137</v>
      </c>
      <c r="D566" s="101" t="s">
        <v>1885</v>
      </c>
      <c r="E566" s="102"/>
      <c r="F566" s="13" t="s">
        <v>2386</v>
      </c>
      <c r="G566" s="21">
        <v>1</v>
      </c>
      <c r="H566" s="72">
        <v>0</v>
      </c>
      <c r="I566" s="39"/>
    </row>
    <row r="567" spans="1:9" x14ac:dyDescent="0.3">
      <c r="A567" s="4" t="s">
        <v>396</v>
      </c>
      <c r="B567" s="13"/>
      <c r="C567" s="13" t="s">
        <v>1137</v>
      </c>
      <c r="D567" s="101" t="s">
        <v>1886</v>
      </c>
      <c r="E567" s="102"/>
      <c r="F567" s="13" t="s">
        <v>2386</v>
      </c>
      <c r="G567" s="21">
        <v>2</v>
      </c>
      <c r="H567" s="72">
        <v>0</v>
      </c>
      <c r="I567" s="39"/>
    </row>
    <row r="568" spans="1:9" x14ac:dyDescent="0.3">
      <c r="A568" s="4" t="s">
        <v>397</v>
      </c>
      <c r="B568" s="13"/>
      <c r="C568" s="13" t="s">
        <v>1137</v>
      </c>
      <c r="D568" s="101" t="s">
        <v>1886</v>
      </c>
      <c r="E568" s="102"/>
      <c r="F568" s="13" t="s">
        <v>2386</v>
      </c>
      <c r="G568" s="21">
        <v>1</v>
      </c>
      <c r="H568" s="72">
        <v>0</v>
      </c>
      <c r="I568" s="39"/>
    </row>
    <row r="569" spans="1:9" x14ac:dyDescent="0.3">
      <c r="A569" s="4" t="s">
        <v>398</v>
      </c>
      <c r="B569" s="13"/>
      <c r="C569" s="13" t="s">
        <v>1137</v>
      </c>
      <c r="D569" s="101" t="s">
        <v>1887</v>
      </c>
      <c r="E569" s="102"/>
      <c r="F569" s="13" t="s">
        <v>2386</v>
      </c>
      <c r="G569" s="21">
        <v>10</v>
      </c>
      <c r="H569" s="72">
        <v>0</v>
      </c>
      <c r="I569" s="39"/>
    </row>
    <row r="570" spans="1:9" x14ac:dyDescent="0.3">
      <c r="A570" s="4" t="s">
        <v>399</v>
      </c>
      <c r="B570" s="13"/>
      <c r="C570" s="13" t="s">
        <v>1137</v>
      </c>
      <c r="D570" s="101" t="s">
        <v>1888</v>
      </c>
      <c r="E570" s="102"/>
      <c r="F570" s="13" t="s">
        <v>2386</v>
      </c>
      <c r="G570" s="21">
        <v>10</v>
      </c>
      <c r="H570" s="72">
        <v>0</v>
      </c>
      <c r="I570" s="39"/>
    </row>
    <row r="571" spans="1:9" x14ac:dyDescent="0.3">
      <c r="A571" s="4" t="s">
        <v>400</v>
      </c>
      <c r="B571" s="13"/>
      <c r="C571" s="13" t="s">
        <v>1137</v>
      </c>
      <c r="D571" s="101" t="s">
        <v>1889</v>
      </c>
      <c r="E571" s="102"/>
      <c r="F571" s="13" t="s">
        <v>2384</v>
      </c>
      <c r="G571" s="21">
        <v>10</v>
      </c>
      <c r="H571" s="72">
        <v>0</v>
      </c>
      <c r="I571" s="39"/>
    </row>
    <row r="572" spans="1:9" x14ac:dyDescent="0.3">
      <c r="A572" s="4" t="s">
        <v>401</v>
      </c>
      <c r="B572" s="13"/>
      <c r="C572" s="13" t="s">
        <v>1137</v>
      </c>
      <c r="D572" s="101" t="s">
        <v>1890</v>
      </c>
      <c r="E572" s="102"/>
      <c r="F572" s="13" t="s">
        <v>2384</v>
      </c>
      <c r="G572" s="21">
        <v>54</v>
      </c>
      <c r="H572" s="72">
        <v>0</v>
      </c>
      <c r="I572" s="39"/>
    </row>
    <row r="573" spans="1:9" x14ac:dyDescent="0.3">
      <c r="A573" s="4" t="s">
        <v>402</v>
      </c>
      <c r="B573" s="13"/>
      <c r="C573" s="13" t="s">
        <v>1137</v>
      </c>
      <c r="D573" s="101" t="s">
        <v>1890</v>
      </c>
      <c r="E573" s="102"/>
      <c r="F573" s="13" t="s">
        <v>2384</v>
      </c>
      <c r="G573" s="21">
        <v>2</v>
      </c>
      <c r="H573" s="72">
        <v>0</v>
      </c>
      <c r="I573" s="39"/>
    </row>
    <row r="574" spans="1:9" x14ac:dyDescent="0.3">
      <c r="A574" s="4" t="s">
        <v>403</v>
      </c>
      <c r="B574" s="13"/>
      <c r="C574" s="13" t="s">
        <v>1137</v>
      </c>
      <c r="D574" s="101" t="s">
        <v>1875</v>
      </c>
      <c r="E574" s="102"/>
      <c r="F574" s="13" t="s">
        <v>2386</v>
      </c>
      <c r="G574" s="21">
        <v>28</v>
      </c>
      <c r="H574" s="72">
        <v>0</v>
      </c>
      <c r="I574" s="39"/>
    </row>
    <row r="575" spans="1:9" x14ac:dyDescent="0.3">
      <c r="A575" s="4" t="s">
        <v>404</v>
      </c>
      <c r="B575" s="13"/>
      <c r="C575" s="13" t="s">
        <v>1137</v>
      </c>
      <c r="D575" s="101" t="s">
        <v>1877</v>
      </c>
      <c r="E575" s="102"/>
      <c r="F575" s="13" t="s">
        <v>2384</v>
      </c>
      <c r="G575" s="21">
        <v>28</v>
      </c>
      <c r="H575" s="72">
        <v>0</v>
      </c>
      <c r="I575" s="39"/>
    </row>
    <row r="576" spans="1:9" x14ac:dyDescent="0.3">
      <c r="A576" s="4" t="s">
        <v>405</v>
      </c>
      <c r="B576" s="13"/>
      <c r="C576" s="13" t="s">
        <v>1137</v>
      </c>
      <c r="D576" s="101" t="s">
        <v>1879</v>
      </c>
      <c r="E576" s="102"/>
      <c r="F576" s="13" t="s">
        <v>2384</v>
      </c>
      <c r="G576" s="21">
        <v>28</v>
      </c>
      <c r="H576" s="72">
        <v>0</v>
      </c>
      <c r="I576" s="39"/>
    </row>
    <row r="577" spans="1:9" x14ac:dyDescent="0.3">
      <c r="A577" s="4" t="s">
        <v>406</v>
      </c>
      <c r="B577" s="13"/>
      <c r="C577" s="13" t="s">
        <v>1137</v>
      </c>
      <c r="D577" s="101" t="s">
        <v>1880</v>
      </c>
      <c r="E577" s="102"/>
      <c r="F577" s="13" t="s">
        <v>2384</v>
      </c>
      <c r="G577" s="21">
        <v>56</v>
      </c>
      <c r="H577" s="72">
        <v>0</v>
      </c>
      <c r="I577" s="39"/>
    </row>
    <row r="578" spans="1:9" x14ac:dyDescent="0.3">
      <c r="A578" s="4" t="s">
        <v>407</v>
      </c>
      <c r="B578" s="13"/>
      <c r="C578" s="13" t="s">
        <v>1137</v>
      </c>
      <c r="D578" s="101" t="s">
        <v>1878</v>
      </c>
      <c r="E578" s="102"/>
      <c r="F578" s="13" t="s">
        <v>2385</v>
      </c>
      <c r="G578" s="21">
        <v>26</v>
      </c>
      <c r="H578" s="72">
        <v>0</v>
      </c>
      <c r="I578" s="39"/>
    </row>
    <row r="579" spans="1:9" x14ac:dyDescent="0.3">
      <c r="A579" s="4" t="s">
        <v>408</v>
      </c>
      <c r="B579" s="13"/>
      <c r="C579" s="13" t="s">
        <v>1137</v>
      </c>
      <c r="D579" s="101" t="s">
        <v>1878</v>
      </c>
      <c r="E579" s="102"/>
      <c r="F579" s="13" t="s">
        <v>2385</v>
      </c>
      <c r="G579" s="21">
        <v>31</v>
      </c>
      <c r="H579" s="72">
        <v>0</v>
      </c>
      <c r="I579" s="39"/>
    </row>
    <row r="580" spans="1:9" x14ac:dyDescent="0.3">
      <c r="A580" s="4" t="s">
        <v>409</v>
      </c>
      <c r="B580" s="13"/>
      <c r="C580" s="13" t="s">
        <v>1137</v>
      </c>
      <c r="D580" s="101" t="s">
        <v>1881</v>
      </c>
      <c r="E580" s="102"/>
      <c r="F580" s="13" t="s">
        <v>2385</v>
      </c>
      <c r="G580" s="21">
        <v>26</v>
      </c>
      <c r="H580" s="72">
        <v>0</v>
      </c>
      <c r="I580" s="39"/>
    </row>
    <row r="581" spans="1:9" x14ac:dyDescent="0.3">
      <c r="A581" s="4" t="s">
        <v>410</v>
      </c>
      <c r="B581" s="13"/>
      <c r="C581" s="13" t="s">
        <v>1137</v>
      </c>
      <c r="D581" s="101" t="s">
        <v>1881</v>
      </c>
      <c r="E581" s="102"/>
      <c r="F581" s="13" t="s">
        <v>2385</v>
      </c>
      <c r="G581" s="21">
        <v>31</v>
      </c>
      <c r="H581" s="72">
        <v>0</v>
      </c>
      <c r="I581" s="39"/>
    </row>
    <row r="582" spans="1:9" x14ac:dyDescent="0.3">
      <c r="A582" s="4" t="s">
        <v>411</v>
      </c>
      <c r="B582" s="13"/>
      <c r="C582" s="13" t="s">
        <v>1137</v>
      </c>
      <c r="D582" s="101" t="s">
        <v>1894</v>
      </c>
      <c r="E582" s="102"/>
      <c r="F582" s="13" t="s">
        <v>2386</v>
      </c>
      <c r="G582" s="21">
        <v>1</v>
      </c>
      <c r="H582" s="72">
        <v>0</v>
      </c>
      <c r="I582" s="39"/>
    </row>
    <row r="583" spans="1:9" x14ac:dyDescent="0.3">
      <c r="A583" s="4" t="s">
        <v>412</v>
      </c>
      <c r="B583" s="13"/>
      <c r="C583" s="13" t="s">
        <v>1137</v>
      </c>
      <c r="D583" s="101" t="s">
        <v>1739</v>
      </c>
      <c r="E583" s="102"/>
      <c r="F583" s="13" t="s">
        <v>2386</v>
      </c>
      <c r="G583" s="21">
        <v>1</v>
      </c>
      <c r="H583" s="72">
        <v>0</v>
      </c>
      <c r="I583" s="39"/>
    </row>
    <row r="584" spans="1:9" x14ac:dyDescent="0.3">
      <c r="A584" s="4" t="s">
        <v>413</v>
      </c>
      <c r="B584" s="13"/>
      <c r="C584" s="13" t="s">
        <v>1137</v>
      </c>
      <c r="D584" s="101" t="s">
        <v>1895</v>
      </c>
      <c r="E584" s="102"/>
      <c r="F584" s="13" t="s">
        <v>2386</v>
      </c>
      <c r="G584" s="21">
        <v>1</v>
      </c>
      <c r="H584" s="72">
        <v>0</v>
      </c>
      <c r="I584" s="39"/>
    </row>
    <row r="585" spans="1:9" x14ac:dyDescent="0.3">
      <c r="A585" s="4" t="s">
        <v>414</v>
      </c>
      <c r="B585" s="13"/>
      <c r="C585" s="13" t="s">
        <v>1137</v>
      </c>
      <c r="D585" s="101" t="s">
        <v>1741</v>
      </c>
      <c r="E585" s="102"/>
      <c r="F585" s="13" t="s">
        <v>2386</v>
      </c>
      <c r="G585" s="21">
        <v>1</v>
      </c>
      <c r="H585" s="72">
        <v>0</v>
      </c>
      <c r="I585" s="39"/>
    </row>
    <row r="586" spans="1:9" x14ac:dyDescent="0.3">
      <c r="A586" s="4" t="s">
        <v>415</v>
      </c>
      <c r="B586" s="13"/>
      <c r="C586" s="13" t="s">
        <v>1137</v>
      </c>
      <c r="D586" s="101" t="s">
        <v>1742</v>
      </c>
      <c r="E586" s="102"/>
      <c r="F586" s="13" t="s">
        <v>2386</v>
      </c>
      <c r="G586" s="21">
        <v>1</v>
      </c>
      <c r="H586" s="72">
        <v>0</v>
      </c>
      <c r="I586" s="39"/>
    </row>
    <row r="587" spans="1:9" x14ac:dyDescent="0.3">
      <c r="A587" s="4" t="s">
        <v>416</v>
      </c>
      <c r="B587" s="13"/>
      <c r="C587" s="13" t="s">
        <v>1137</v>
      </c>
      <c r="D587" s="101" t="s">
        <v>1743</v>
      </c>
      <c r="E587" s="102"/>
      <c r="F587" s="13" t="s">
        <v>2386</v>
      </c>
      <c r="G587" s="21">
        <v>1</v>
      </c>
      <c r="H587" s="72">
        <v>0</v>
      </c>
      <c r="I587" s="39"/>
    </row>
    <row r="588" spans="1:9" x14ac:dyDescent="0.3">
      <c r="A588" s="4" t="s">
        <v>417</v>
      </c>
      <c r="B588" s="13"/>
      <c r="C588" s="13" t="s">
        <v>1137</v>
      </c>
      <c r="D588" s="101" t="s">
        <v>1744</v>
      </c>
      <c r="E588" s="102"/>
      <c r="F588" s="13" t="s">
        <v>2386</v>
      </c>
      <c r="G588" s="21">
        <v>1</v>
      </c>
      <c r="H588" s="72">
        <v>0</v>
      </c>
      <c r="I588" s="39"/>
    </row>
    <row r="589" spans="1:9" x14ac:dyDescent="0.3">
      <c r="A589" s="4" t="s">
        <v>418</v>
      </c>
      <c r="B589" s="13"/>
      <c r="C589" s="13" t="s">
        <v>1137</v>
      </c>
      <c r="D589" s="101" t="s">
        <v>1745</v>
      </c>
      <c r="E589" s="102"/>
      <c r="F589" s="13" t="s">
        <v>2386</v>
      </c>
      <c r="G589" s="21">
        <v>1</v>
      </c>
      <c r="H589" s="72">
        <v>0</v>
      </c>
      <c r="I589" s="39"/>
    </row>
    <row r="590" spans="1:9" x14ac:dyDescent="0.3">
      <c r="A590" s="4" t="s">
        <v>419</v>
      </c>
      <c r="B590" s="13"/>
      <c r="C590" s="13" t="s">
        <v>1137</v>
      </c>
      <c r="D590" s="101" t="s">
        <v>1746</v>
      </c>
      <c r="E590" s="102"/>
      <c r="F590" s="13" t="s">
        <v>2386</v>
      </c>
      <c r="G590" s="21">
        <v>1</v>
      </c>
      <c r="H590" s="72">
        <v>0</v>
      </c>
      <c r="I590" s="39"/>
    </row>
    <row r="591" spans="1:9" x14ac:dyDescent="0.3">
      <c r="A591" s="4" t="s">
        <v>420</v>
      </c>
      <c r="B591" s="13"/>
      <c r="C591" s="13" t="s">
        <v>1137</v>
      </c>
      <c r="D591" s="101" t="s">
        <v>1747</v>
      </c>
      <c r="E591" s="102"/>
      <c r="F591" s="13" t="s">
        <v>2386</v>
      </c>
      <c r="G591" s="21">
        <v>1</v>
      </c>
      <c r="H591" s="72">
        <v>0</v>
      </c>
      <c r="I591" s="39"/>
    </row>
    <row r="592" spans="1:9" x14ac:dyDescent="0.3">
      <c r="A592" s="66"/>
      <c r="B592" s="14"/>
      <c r="C592" s="14" t="s">
        <v>734</v>
      </c>
      <c r="D592" s="103" t="s">
        <v>1908</v>
      </c>
      <c r="E592" s="104"/>
      <c r="F592" s="14"/>
      <c r="G592" s="31"/>
      <c r="H592" s="36"/>
      <c r="I592" s="39"/>
    </row>
    <row r="593" spans="1:9" x14ac:dyDescent="0.3">
      <c r="A593" s="4" t="s">
        <v>421</v>
      </c>
      <c r="B593" s="13"/>
      <c r="C593" s="13" t="s">
        <v>1144</v>
      </c>
      <c r="D593" s="101" t="s">
        <v>1909</v>
      </c>
      <c r="E593" s="102"/>
      <c r="F593" s="13" t="s">
        <v>2392</v>
      </c>
      <c r="G593" s="21">
        <v>1</v>
      </c>
      <c r="H593" s="72">
        <v>0</v>
      </c>
      <c r="I593" s="39"/>
    </row>
    <row r="594" spans="1:9" ht="12.25" customHeight="1" x14ac:dyDescent="0.3">
      <c r="A594" s="4"/>
      <c r="B594" s="13"/>
      <c r="C594" s="13"/>
      <c r="D594" s="67" t="s">
        <v>7</v>
      </c>
      <c r="E594" s="138"/>
      <c r="F594" s="138"/>
      <c r="G594" s="69">
        <v>1</v>
      </c>
      <c r="H594" s="35"/>
      <c r="I594" s="39"/>
    </row>
    <row r="595" spans="1:9" x14ac:dyDescent="0.3">
      <c r="A595" s="66"/>
      <c r="B595" s="14"/>
      <c r="C595" s="14" t="s">
        <v>1145</v>
      </c>
      <c r="D595" s="103" t="s">
        <v>1910</v>
      </c>
      <c r="E595" s="104"/>
      <c r="F595" s="14"/>
      <c r="G595" s="31"/>
      <c r="H595" s="36"/>
      <c r="I595" s="39"/>
    </row>
    <row r="596" spans="1:9" x14ac:dyDescent="0.3">
      <c r="A596" s="4" t="s">
        <v>422</v>
      </c>
      <c r="B596" s="13"/>
      <c r="C596" s="13" t="s">
        <v>1146</v>
      </c>
      <c r="D596" s="101" t="s">
        <v>1911</v>
      </c>
      <c r="E596" s="102"/>
      <c r="F596" s="13" t="s">
        <v>2384</v>
      </c>
      <c r="G596" s="21">
        <v>1</v>
      </c>
      <c r="H596" s="72">
        <v>0</v>
      </c>
      <c r="I596" s="39"/>
    </row>
    <row r="597" spans="1:9" x14ac:dyDescent="0.3">
      <c r="A597" s="4" t="s">
        <v>423</v>
      </c>
      <c r="B597" s="13"/>
      <c r="C597" s="13" t="s">
        <v>1146</v>
      </c>
      <c r="D597" s="101" t="s">
        <v>1912</v>
      </c>
      <c r="E597" s="102"/>
      <c r="F597" s="13" t="s">
        <v>2384</v>
      </c>
      <c r="G597" s="21">
        <v>1</v>
      </c>
      <c r="H597" s="72">
        <v>0</v>
      </c>
      <c r="I597" s="39"/>
    </row>
    <row r="598" spans="1:9" x14ac:dyDescent="0.3">
      <c r="A598" s="4" t="s">
        <v>424</v>
      </c>
      <c r="B598" s="13"/>
      <c r="C598" s="13" t="s">
        <v>1146</v>
      </c>
      <c r="D598" s="101" t="s">
        <v>1913</v>
      </c>
      <c r="E598" s="102"/>
      <c r="F598" s="13" t="s">
        <v>2385</v>
      </c>
      <c r="G598" s="21">
        <v>57</v>
      </c>
      <c r="H598" s="72">
        <v>0</v>
      </c>
      <c r="I598" s="39"/>
    </row>
    <row r="599" spans="1:9" x14ac:dyDescent="0.3">
      <c r="A599" s="4" t="s">
        <v>425</v>
      </c>
      <c r="B599" s="13"/>
      <c r="C599" s="13" t="s">
        <v>1146</v>
      </c>
      <c r="D599" s="101" t="s">
        <v>1914</v>
      </c>
      <c r="E599" s="102"/>
      <c r="F599" s="13" t="s">
        <v>2388</v>
      </c>
      <c r="G599" s="21">
        <v>1</v>
      </c>
      <c r="H599" s="72">
        <v>0</v>
      </c>
      <c r="I599" s="39"/>
    </row>
    <row r="600" spans="1:9" x14ac:dyDescent="0.3">
      <c r="A600" s="4" t="s">
        <v>426</v>
      </c>
      <c r="B600" s="13"/>
      <c r="C600" s="13" t="s">
        <v>1146</v>
      </c>
      <c r="D600" s="101" t="s">
        <v>1915</v>
      </c>
      <c r="E600" s="102"/>
      <c r="F600" s="13" t="s">
        <v>2384</v>
      </c>
      <c r="G600" s="21">
        <v>1</v>
      </c>
      <c r="H600" s="72">
        <v>0</v>
      </c>
      <c r="I600" s="39"/>
    </row>
    <row r="601" spans="1:9" x14ac:dyDescent="0.3">
      <c r="A601" s="4" t="s">
        <v>427</v>
      </c>
      <c r="B601" s="13"/>
      <c r="C601" s="13" t="s">
        <v>1146</v>
      </c>
      <c r="D601" s="101" t="s">
        <v>1916</v>
      </c>
      <c r="E601" s="102"/>
      <c r="F601" s="13" t="s">
        <v>2384</v>
      </c>
      <c r="G601" s="21">
        <v>1</v>
      </c>
      <c r="H601" s="72">
        <v>0</v>
      </c>
      <c r="I601" s="39"/>
    </row>
    <row r="602" spans="1:9" x14ac:dyDescent="0.3">
      <c r="A602" s="4" t="s">
        <v>428</v>
      </c>
      <c r="B602" s="13"/>
      <c r="C602" s="13" t="s">
        <v>1146</v>
      </c>
      <c r="D602" s="101" t="s">
        <v>1890</v>
      </c>
      <c r="E602" s="102"/>
      <c r="F602" s="13" t="s">
        <v>2384</v>
      </c>
      <c r="G602" s="21">
        <v>10</v>
      </c>
      <c r="H602" s="72">
        <v>0</v>
      </c>
      <c r="I602" s="39"/>
    </row>
    <row r="603" spans="1:9" x14ac:dyDescent="0.3">
      <c r="A603" s="4" t="s">
        <v>429</v>
      </c>
      <c r="B603" s="13"/>
      <c r="C603" s="13" t="s">
        <v>1146</v>
      </c>
      <c r="D603" s="101" t="s">
        <v>1890</v>
      </c>
      <c r="E603" s="102"/>
      <c r="F603" s="13" t="s">
        <v>2384</v>
      </c>
      <c r="G603" s="21">
        <v>2</v>
      </c>
      <c r="H603" s="72">
        <v>0</v>
      </c>
      <c r="I603" s="39"/>
    </row>
    <row r="604" spans="1:9" x14ac:dyDescent="0.3">
      <c r="A604" s="4" t="s">
        <v>430</v>
      </c>
      <c r="B604" s="13"/>
      <c r="C604" s="13" t="s">
        <v>1146</v>
      </c>
      <c r="D604" s="101" t="s">
        <v>1917</v>
      </c>
      <c r="E604" s="102"/>
      <c r="F604" s="13" t="s">
        <v>2386</v>
      </c>
      <c r="G604" s="21">
        <v>5</v>
      </c>
      <c r="H604" s="72">
        <v>0</v>
      </c>
      <c r="I604" s="39"/>
    </row>
    <row r="605" spans="1:9" x14ac:dyDescent="0.3">
      <c r="A605" s="4" t="s">
        <v>431</v>
      </c>
      <c r="B605" s="13"/>
      <c r="C605" s="13" t="s">
        <v>1146</v>
      </c>
      <c r="D605" s="101" t="s">
        <v>1918</v>
      </c>
      <c r="E605" s="102"/>
      <c r="F605" s="13" t="s">
        <v>2386</v>
      </c>
      <c r="G605" s="21">
        <v>1</v>
      </c>
      <c r="H605" s="72">
        <v>0</v>
      </c>
      <c r="I605" s="39"/>
    </row>
    <row r="606" spans="1:9" x14ac:dyDescent="0.3">
      <c r="A606" s="4" t="s">
        <v>432</v>
      </c>
      <c r="B606" s="13"/>
      <c r="C606" s="13" t="s">
        <v>1146</v>
      </c>
      <c r="D606" s="101" t="s">
        <v>1877</v>
      </c>
      <c r="E606" s="102"/>
      <c r="F606" s="13" t="s">
        <v>2384</v>
      </c>
      <c r="G606" s="21">
        <v>14</v>
      </c>
      <c r="H606" s="72">
        <v>0</v>
      </c>
      <c r="I606" s="39"/>
    </row>
    <row r="607" spans="1:9" x14ac:dyDescent="0.3">
      <c r="A607" s="4" t="s">
        <v>433</v>
      </c>
      <c r="B607" s="13"/>
      <c r="C607" s="13" t="s">
        <v>1146</v>
      </c>
      <c r="D607" s="101" t="s">
        <v>1879</v>
      </c>
      <c r="E607" s="102"/>
      <c r="F607" s="13" t="s">
        <v>2384</v>
      </c>
      <c r="G607" s="21">
        <v>9</v>
      </c>
      <c r="H607" s="72">
        <v>0</v>
      </c>
      <c r="I607" s="39"/>
    </row>
    <row r="608" spans="1:9" x14ac:dyDescent="0.3">
      <c r="A608" s="4" t="s">
        <v>434</v>
      </c>
      <c r="B608" s="13"/>
      <c r="C608" s="13" t="s">
        <v>1146</v>
      </c>
      <c r="D608" s="101" t="s">
        <v>1878</v>
      </c>
      <c r="E608" s="102"/>
      <c r="F608" s="13" t="s">
        <v>2385</v>
      </c>
      <c r="G608" s="21">
        <v>59</v>
      </c>
      <c r="H608" s="72">
        <v>0</v>
      </c>
      <c r="I608" s="39"/>
    </row>
    <row r="609" spans="1:9" x14ac:dyDescent="0.3">
      <c r="A609" s="4" t="s">
        <v>435</v>
      </c>
      <c r="B609" s="13"/>
      <c r="C609" s="13" t="s">
        <v>1146</v>
      </c>
      <c r="D609" s="101" t="s">
        <v>1878</v>
      </c>
      <c r="E609" s="102"/>
      <c r="F609" s="13" t="s">
        <v>2385</v>
      </c>
      <c r="G609" s="21">
        <v>6</v>
      </c>
      <c r="H609" s="72">
        <v>0</v>
      </c>
      <c r="I609" s="39"/>
    </row>
    <row r="610" spans="1:9" x14ac:dyDescent="0.3">
      <c r="A610" s="4" t="s">
        <v>436</v>
      </c>
      <c r="B610" s="13"/>
      <c r="C610" s="13" t="s">
        <v>1146</v>
      </c>
      <c r="D610" s="101" t="s">
        <v>1919</v>
      </c>
      <c r="E610" s="102"/>
      <c r="F610" s="13" t="s">
        <v>2385</v>
      </c>
      <c r="G610" s="21">
        <v>61</v>
      </c>
      <c r="H610" s="72">
        <v>0</v>
      </c>
      <c r="I610" s="39"/>
    </row>
    <row r="611" spans="1:9" x14ac:dyDescent="0.3">
      <c r="A611" s="4" t="s">
        <v>437</v>
      </c>
      <c r="B611" s="13"/>
      <c r="C611" s="13" t="s">
        <v>1146</v>
      </c>
      <c r="D611" s="101" t="s">
        <v>1919</v>
      </c>
      <c r="E611" s="102"/>
      <c r="F611" s="13" t="s">
        <v>2385</v>
      </c>
      <c r="G611" s="21">
        <v>12</v>
      </c>
      <c r="H611" s="72">
        <v>0</v>
      </c>
      <c r="I611" s="39"/>
    </row>
    <row r="612" spans="1:9" x14ac:dyDescent="0.3">
      <c r="A612" s="4" t="s">
        <v>438</v>
      </c>
      <c r="B612" s="13"/>
      <c r="C612" s="13" t="s">
        <v>1146</v>
      </c>
      <c r="D612" s="101" t="s">
        <v>1919</v>
      </c>
      <c r="E612" s="102"/>
      <c r="F612" s="13" t="s">
        <v>2385</v>
      </c>
      <c r="G612" s="21">
        <v>4</v>
      </c>
      <c r="H612" s="72">
        <v>0</v>
      </c>
      <c r="I612" s="39"/>
    </row>
    <row r="613" spans="1:9" x14ac:dyDescent="0.3">
      <c r="A613" s="4" t="s">
        <v>439</v>
      </c>
      <c r="B613" s="13"/>
      <c r="C613" s="13" t="s">
        <v>1146</v>
      </c>
      <c r="D613" s="101" t="s">
        <v>1920</v>
      </c>
      <c r="E613" s="102"/>
      <c r="F613" s="13" t="s">
        <v>2385</v>
      </c>
      <c r="G613" s="21">
        <v>59</v>
      </c>
      <c r="H613" s="72">
        <v>0</v>
      </c>
      <c r="I613" s="39"/>
    </row>
    <row r="614" spans="1:9" x14ac:dyDescent="0.3">
      <c r="A614" s="4" t="s">
        <v>440</v>
      </c>
      <c r="B614" s="13"/>
      <c r="C614" s="13" t="s">
        <v>1146</v>
      </c>
      <c r="D614" s="101" t="s">
        <v>1920</v>
      </c>
      <c r="E614" s="102"/>
      <c r="F614" s="13" t="s">
        <v>2385</v>
      </c>
      <c r="G614" s="21">
        <v>6</v>
      </c>
      <c r="H614" s="72">
        <v>0</v>
      </c>
      <c r="I614" s="39"/>
    </row>
    <row r="615" spans="1:9" x14ac:dyDescent="0.3">
      <c r="A615" s="4" t="s">
        <v>441</v>
      </c>
      <c r="B615" s="13"/>
      <c r="C615" s="13" t="s">
        <v>1146</v>
      </c>
      <c r="D615" s="101" t="s">
        <v>1920</v>
      </c>
      <c r="E615" s="102"/>
      <c r="F615" s="13" t="s">
        <v>2385</v>
      </c>
      <c r="G615" s="21">
        <v>61</v>
      </c>
      <c r="H615" s="72">
        <v>0</v>
      </c>
      <c r="I615" s="39"/>
    </row>
    <row r="616" spans="1:9" x14ac:dyDescent="0.3">
      <c r="A616" s="4" t="s">
        <v>442</v>
      </c>
      <c r="B616" s="13"/>
      <c r="C616" s="13" t="s">
        <v>1146</v>
      </c>
      <c r="D616" s="101" t="s">
        <v>1920</v>
      </c>
      <c r="E616" s="102"/>
      <c r="F616" s="13" t="s">
        <v>2385</v>
      </c>
      <c r="G616" s="21">
        <v>12</v>
      </c>
      <c r="H616" s="72">
        <v>0</v>
      </c>
      <c r="I616" s="39"/>
    </row>
    <row r="617" spans="1:9" x14ac:dyDescent="0.3">
      <c r="A617" s="4" t="s">
        <v>443</v>
      </c>
      <c r="B617" s="13"/>
      <c r="C617" s="13" t="s">
        <v>1146</v>
      </c>
      <c r="D617" s="101" t="s">
        <v>1920</v>
      </c>
      <c r="E617" s="102"/>
      <c r="F617" s="13" t="s">
        <v>2385</v>
      </c>
      <c r="G617" s="21">
        <v>4</v>
      </c>
      <c r="H617" s="72">
        <v>0</v>
      </c>
      <c r="I617" s="39"/>
    </row>
    <row r="618" spans="1:9" x14ac:dyDescent="0.3">
      <c r="A618" s="4" t="s">
        <v>444</v>
      </c>
      <c r="B618" s="13"/>
      <c r="C618" s="13" t="s">
        <v>1146</v>
      </c>
      <c r="D618" s="101" t="s">
        <v>1921</v>
      </c>
      <c r="E618" s="102"/>
      <c r="F618" s="13" t="s">
        <v>2386</v>
      </c>
      <c r="G618" s="21">
        <v>1</v>
      </c>
      <c r="H618" s="72">
        <v>0</v>
      </c>
      <c r="I618" s="39"/>
    </row>
    <row r="619" spans="1:9" x14ac:dyDescent="0.3">
      <c r="A619" s="4" t="s">
        <v>445</v>
      </c>
      <c r="B619" s="13"/>
      <c r="C619" s="13" t="s">
        <v>1146</v>
      </c>
      <c r="D619" s="101" t="s">
        <v>1911</v>
      </c>
      <c r="E619" s="102"/>
      <c r="F619" s="13" t="s">
        <v>2384</v>
      </c>
      <c r="G619" s="21">
        <v>1</v>
      </c>
      <c r="H619" s="72">
        <v>0</v>
      </c>
      <c r="I619" s="39"/>
    </row>
    <row r="620" spans="1:9" x14ac:dyDescent="0.3">
      <c r="A620" s="4" t="s">
        <v>446</v>
      </c>
      <c r="B620" s="13"/>
      <c r="C620" s="13" t="s">
        <v>1146</v>
      </c>
      <c r="D620" s="101" t="s">
        <v>1912</v>
      </c>
      <c r="E620" s="102"/>
      <c r="F620" s="13" t="s">
        <v>2384</v>
      </c>
      <c r="G620" s="21">
        <v>1</v>
      </c>
      <c r="H620" s="72">
        <v>0</v>
      </c>
      <c r="I620" s="39"/>
    </row>
    <row r="621" spans="1:9" x14ac:dyDescent="0.3">
      <c r="A621" s="4" t="s">
        <v>447</v>
      </c>
      <c r="B621" s="13"/>
      <c r="C621" s="13" t="s">
        <v>1146</v>
      </c>
      <c r="D621" s="101" t="s">
        <v>1913</v>
      </c>
      <c r="E621" s="102"/>
      <c r="F621" s="13" t="s">
        <v>2385</v>
      </c>
      <c r="G621" s="21">
        <v>55</v>
      </c>
      <c r="H621" s="72">
        <v>0</v>
      </c>
      <c r="I621" s="39"/>
    </row>
    <row r="622" spans="1:9" x14ac:dyDescent="0.3">
      <c r="A622" s="4" t="s">
        <v>448</v>
      </c>
      <c r="B622" s="13"/>
      <c r="C622" s="13" t="s">
        <v>1146</v>
      </c>
      <c r="D622" s="101" t="s">
        <v>1914</v>
      </c>
      <c r="E622" s="102"/>
      <c r="F622" s="13" t="s">
        <v>2388</v>
      </c>
      <c r="G622" s="21">
        <v>1</v>
      </c>
      <c r="H622" s="72">
        <v>0</v>
      </c>
      <c r="I622" s="39"/>
    </row>
    <row r="623" spans="1:9" x14ac:dyDescent="0.3">
      <c r="A623" s="4" t="s">
        <v>449</v>
      </c>
      <c r="B623" s="13"/>
      <c r="C623" s="13" t="s">
        <v>1146</v>
      </c>
      <c r="D623" s="101" t="s">
        <v>1915</v>
      </c>
      <c r="E623" s="102"/>
      <c r="F623" s="13" t="s">
        <v>2384</v>
      </c>
      <c r="G623" s="21">
        <v>1</v>
      </c>
      <c r="H623" s="72">
        <v>0</v>
      </c>
      <c r="I623" s="39"/>
    </row>
    <row r="624" spans="1:9" x14ac:dyDescent="0.3">
      <c r="A624" s="4" t="s">
        <v>450</v>
      </c>
      <c r="B624" s="13"/>
      <c r="C624" s="13" t="s">
        <v>1146</v>
      </c>
      <c r="D624" s="101" t="s">
        <v>1916</v>
      </c>
      <c r="E624" s="102"/>
      <c r="F624" s="13" t="s">
        <v>2384</v>
      </c>
      <c r="G624" s="21">
        <v>1</v>
      </c>
      <c r="H624" s="72">
        <v>0</v>
      </c>
      <c r="I624" s="39"/>
    </row>
    <row r="625" spans="1:9" x14ac:dyDescent="0.3">
      <c r="A625" s="4" t="s">
        <v>451</v>
      </c>
      <c r="B625" s="13"/>
      <c r="C625" s="13" t="s">
        <v>1146</v>
      </c>
      <c r="D625" s="101" t="s">
        <v>1890</v>
      </c>
      <c r="E625" s="102"/>
      <c r="F625" s="13" t="s">
        <v>2384</v>
      </c>
      <c r="G625" s="21">
        <v>8</v>
      </c>
      <c r="H625" s="72">
        <v>0</v>
      </c>
      <c r="I625" s="39"/>
    </row>
    <row r="626" spans="1:9" x14ac:dyDescent="0.3">
      <c r="A626" s="4" t="s">
        <v>452</v>
      </c>
      <c r="B626" s="13"/>
      <c r="C626" s="13" t="s">
        <v>1146</v>
      </c>
      <c r="D626" s="101" t="s">
        <v>1890</v>
      </c>
      <c r="E626" s="102"/>
      <c r="F626" s="13" t="s">
        <v>2384</v>
      </c>
      <c r="G626" s="21">
        <v>20</v>
      </c>
      <c r="H626" s="72">
        <v>0</v>
      </c>
      <c r="I626" s="39"/>
    </row>
    <row r="627" spans="1:9" x14ac:dyDescent="0.3">
      <c r="A627" s="4" t="s">
        <v>453</v>
      </c>
      <c r="B627" s="13"/>
      <c r="C627" s="13" t="s">
        <v>1146</v>
      </c>
      <c r="D627" s="101" t="s">
        <v>1890</v>
      </c>
      <c r="E627" s="102"/>
      <c r="F627" s="13" t="s">
        <v>2384</v>
      </c>
      <c r="G627" s="21">
        <v>2</v>
      </c>
      <c r="H627" s="72">
        <v>0</v>
      </c>
      <c r="I627" s="39"/>
    </row>
    <row r="628" spans="1:9" x14ac:dyDescent="0.3">
      <c r="A628" s="4" t="s">
        <v>454</v>
      </c>
      <c r="B628" s="13"/>
      <c r="C628" s="13" t="s">
        <v>1146</v>
      </c>
      <c r="D628" s="101" t="s">
        <v>1922</v>
      </c>
      <c r="E628" s="102"/>
      <c r="F628" s="13" t="s">
        <v>2386</v>
      </c>
      <c r="G628" s="21">
        <v>2</v>
      </c>
      <c r="H628" s="72">
        <v>0</v>
      </c>
      <c r="I628" s="39"/>
    </row>
    <row r="629" spans="1:9" x14ac:dyDescent="0.3">
      <c r="A629" s="4" t="s">
        <v>455</v>
      </c>
      <c r="B629" s="13"/>
      <c r="C629" s="13" t="s">
        <v>1146</v>
      </c>
      <c r="D629" s="101" t="s">
        <v>1917</v>
      </c>
      <c r="E629" s="102"/>
      <c r="F629" s="13" t="s">
        <v>2386</v>
      </c>
      <c r="G629" s="21">
        <v>12</v>
      </c>
      <c r="H629" s="72">
        <v>0</v>
      </c>
      <c r="I629" s="39"/>
    </row>
    <row r="630" spans="1:9" x14ac:dyDescent="0.3">
      <c r="A630" s="4" t="s">
        <v>456</v>
      </c>
      <c r="B630" s="13"/>
      <c r="C630" s="13" t="s">
        <v>1146</v>
      </c>
      <c r="D630" s="101" t="s">
        <v>1923</v>
      </c>
      <c r="E630" s="102"/>
      <c r="F630" s="13" t="s">
        <v>2386</v>
      </c>
      <c r="G630" s="21">
        <v>1</v>
      </c>
      <c r="H630" s="72">
        <v>0</v>
      </c>
      <c r="I630" s="39"/>
    </row>
    <row r="631" spans="1:9" x14ac:dyDescent="0.3">
      <c r="A631" s="4" t="s">
        <v>457</v>
      </c>
      <c r="B631" s="13"/>
      <c r="C631" s="13" t="s">
        <v>1146</v>
      </c>
      <c r="D631" s="101" t="s">
        <v>1877</v>
      </c>
      <c r="E631" s="102"/>
      <c r="F631" s="13" t="s">
        <v>2384</v>
      </c>
      <c r="G631" s="21">
        <v>36</v>
      </c>
      <c r="H631" s="72">
        <v>0</v>
      </c>
      <c r="I631" s="39"/>
    </row>
    <row r="632" spans="1:9" x14ac:dyDescent="0.3">
      <c r="A632" s="4" t="s">
        <v>458</v>
      </c>
      <c r="B632" s="13"/>
      <c r="C632" s="13" t="s">
        <v>1146</v>
      </c>
      <c r="D632" s="101" t="s">
        <v>1879</v>
      </c>
      <c r="E632" s="102"/>
      <c r="F632" s="13" t="s">
        <v>2384</v>
      </c>
      <c r="G632" s="21">
        <v>13</v>
      </c>
      <c r="H632" s="72">
        <v>0</v>
      </c>
      <c r="I632" s="39"/>
    </row>
    <row r="633" spans="1:9" x14ac:dyDescent="0.3">
      <c r="A633" s="4" t="s">
        <v>459</v>
      </c>
      <c r="B633" s="13"/>
      <c r="C633" s="13" t="s">
        <v>1146</v>
      </c>
      <c r="D633" s="101" t="s">
        <v>1878</v>
      </c>
      <c r="E633" s="102"/>
      <c r="F633" s="13" t="s">
        <v>2385</v>
      </c>
      <c r="G633" s="21">
        <v>44</v>
      </c>
      <c r="H633" s="72">
        <v>0</v>
      </c>
      <c r="I633" s="39"/>
    </row>
    <row r="634" spans="1:9" x14ac:dyDescent="0.3">
      <c r="A634" s="4" t="s">
        <v>460</v>
      </c>
      <c r="B634" s="13"/>
      <c r="C634" s="13" t="s">
        <v>1146</v>
      </c>
      <c r="D634" s="101" t="s">
        <v>1878</v>
      </c>
      <c r="E634" s="102"/>
      <c r="F634" s="13" t="s">
        <v>2385</v>
      </c>
      <c r="G634" s="21">
        <v>87</v>
      </c>
      <c r="H634" s="72">
        <v>0</v>
      </c>
      <c r="I634" s="39"/>
    </row>
    <row r="635" spans="1:9" x14ac:dyDescent="0.3">
      <c r="A635" s="4" t="s">
        <v>461</v>
      </c>
      <c r="B635" s="13"/>
      <c r="C635" s="13" t="s">
        <v>1146</v>
      </c>
      <c r="D635" s="101" t="s">
        <v>1878</v>
      </c>
      <c r="E635" s="102"/>
      <c r="F635" s="13" t="s">
        <v>2385</v>
      </c>
      <c r="G635" s="21">
        <v>39</v>
      </c>
      <c r="H635" s="72">
        <v>0</v>
      </c>
      <c r="I635" s="39"/>
    </row>
    <row r="636" spans="1:9" x14ac:dyDescent="0.3">
      <c r="A636" s="4" t="s">
        <v>462</v>
      </c>
      <c r="B636" s="13"/>
      <c r="C636" s="13" t="s">
        <v>1146</v>
      </c>
      <c r="D636" s="101" t="s">
        <v>1919</v>
      </c>
      <c r="E636" s="102"/>
      <c r="F636" s="13" t="s">
        <v>2385</v>
      </c>
      <c r="G636" s="21">
        <v>18</v>
      </c>
      <c r="H636" s="72">
        <v>0</v>
      </c>
      <c r="I636" s="39"/>
    </row>
    <row r="637" spans="1:9" x14ac:dyDescent="0.3">
      <c r="A637" s="4" t="s">
        <v>463</v>
      </c>
      <c r="B637" s="13"/>
      <c r="C637" s="13" t="s">
        <v>1146</v>
      </c>
      <c r="D637" s="101" t="s">
        <v>1919</v>
      </c>
      <c r="E637" s="102"/>
      <c r="F637" s="13" t="s">
        <v>2385</v>
      </c>
      <c r="G637" s="21">
        <v>9</v>
      </c>
      <c r="H637" s="72">
        <v>0</v>
      </c>
      <c r="I637" s="39"/>
    </row>
    <row r="638" spans="1:9" x14ac:dyDescent="0.3">
      <c r="A638" s="4" t="s">
        <v>464</v>
      </c>
      <c r="B638" s="13"/>
      <c r="C638" s="13" t="s">
        <v>1146</v>
      </c>
      <c r="D638" s="101" t="s">
        <v>1919</v>
      </c>
      <c r="E638" s="102"/>
      <c r="F638" s="13" t="s">
        <v>2385</v>
      </c>
      <c r="G638" s="21">
        <v>46</v>
      </c>
      <c r="H638" s="72">
        <v>0</v>
      </c>
      <c r="I638" s="39"/>
    </row>
    <row r="639" spans="1:9" x14ac:dyDescent="0.3">
      <c r="A639" s="4" t="s">
        <v>465</v>
      </c>
      <c r="B639" s="13"/>
      <c r="C639" s="13" t="s">
        <v>1146</v>
      </c>
      <c r="D639" s="101" t="s">
        <v>1920</v>
      </c>
      <c r="E639" s="102"/>
      <c r="F639" s="13" t="s">
        <v>2385</v>
      </c>
      <c r="G639" s="21">
        <v>44</v>
      </c>
      <c r="H639" s="72">
        <v>0</v>
      </c>
      <c r="I639" s="39"/>
    </row>
    <row r="640" spans="1:9" x14ac:dyDescent="0.3">
      <c r="A640" s="4" t="s">
        <v>466</v>
      </c>
      <c r="B640" s="13"/>
      <c r="C640" s="13" t="s">
        <v>1146</v>
      </c>
      <c r="D640" s="101" t="s">
        <v>1920</v>
      </c>
      <c r="E640" s="102"/>
      <c r="F640" s="13" t="s">
        <v>2385</v>
      </c>
      <c r="G640" s="21">
        <v>87</v>
      </c>
      <c r="H640" s="72">
        <v>0</v>
      </c>
      <c r="I640" s="39"/>
    </row>
    <row r="641" spans="1:9" x14ac:dyDescent="0.3">
      <c r="A641" s="4" t="s">
        <v>467</v>
      </c>
      <c r="B641" s="13"/>
      <c r="C641" s="13" t="s">
        <v>1146</v>
      </c>
      <c r="D641" s="101" t="s">
        <v>1920</v>
      </c>
      <c r="E641" s="102"/>
      <c r="F641" s="13" t="s">
        <v>2385</v>
      </c>
      <c r="G641" s="21">
        <v>39</v>
      </c>
      <c r="H641" s="72">
        <v>0</v>
      </c>
      <c r="I641" s="39"/>
    </row>
    <row r="642" spans="1:9" x14ac:dyDescent="0.3">
      <c r="A642" s="4" t="s">
        <v>468</v>
      </c>
      <c r="B642" s="13"/>
      <c r="C642" s="13" t="s">
        <v>1146</v>
      </c>
      <c r="D642" s="101" t="s">
        <v>1920</v>
      </c>
      <c r="E642" s="102"/>
      <c r="F642" s="13" t="s">
        <v>2385</v>
      </c>
      <c r="G642" s="21">
        <v>18</v>
      </c>
      <c r="H642" s="72">
        <v>0</v>
      </c>
      <c r="I642" s="39"/>
    </row>
    <row r="643" spans="1:9" x14ac:dyDescent="0.3">
      <c r="A643" s="4" t="s">
        <v>469</v>
      </c>
      <c r="B643" s="13"/>
      <c r="C643" s="13" t="s">
        <v>1146</v>
      </c>
      <c r="D643" s="101" t="s">
        <v>1920</v>
      </c>
      <c r="E643" s="102"/>
      <c r="F643" s="13" t="s">
        <v>2385</v>
      </c>
      <c r="G643" s="21">
        <v>9</v>
      </c>
      <c r="H643" s="72">
        <v>0</v>
      </c>
      <c r="I643" s="39"/>
    </row>
    <row r="644" spans="1:9" x14ac:dyDescent="0.3">
      <c r="A644" s="4" t="s">
        <v>470</v>
      </c>
      <c r="B644" s="13"/>
      <c r="C644" s="13" t="s">
        <v>1146</v>
      </c>
      <c r="D644" s="101" t="s">
        <v>1920</v>
      </c>
      <c r="E644" s="102"/>
      <c r="F644" s="13" t="s">
        <v>2385</v>
      </c>
      <c r="G644" s="21">
        <v>46</v>
      </c>
      <c r="H644" s="72">
        <v>0</v>
      </c>
      <c r="I644" s="39"/>
    </row>
    <row r="645" spans="1:9" x14ac:dyDescent="0.3">
      <c r="A645" s="4" t="s">
        <v>471</v>
      </c>
      <c r="B645" s="13"/>
      <c r="C645" s="13" t="s">
        <v>1146</v>
      </c>
      <c r="D645" s="101" t="s">
        <v>1921</v>
      </c>
      <c r="E645" s="102"/>
      <c r="F645" s="13" t="s">
        <v>2386</v>
      </c>
      <c r="G645" s="21">
        <v>1</v>
      </c>
      <c r="H645" s="72">
        <v>0</v>
      </c>
      <c r="I645" s="39"/>
    </row>
    <row r="646" spans="1:9" x14ac:dyDescent="0.3">
      <c r="A646" s="4" t="s">
        <v>472</v>
      </c>
      <c r="B646" s="13"/>
      <c r="C646" s="13" t="s">
        <v>1146</v>
      </c>
      <c r="D646" s="101" t="s">
        <v>1890</v>
      </c>
      <c r="E646" s="102"/>
      <c r="F646" s="13" t="s">
        <v>2384</v>
      </c>
      <c r="G646" s="21">
        <v>22</v>
      </c>
      <c r="H646" s="72">
        <v>0</v>
      </c>
      <c r="I646" s="39"/>
    </row>
    <row r="647" spans="1:9" x14ac:dyDescent="0.3">
      <c r="A647" s="4" t="s">
        <v>473</v>
      </c>
      <c r="B647" s="13"/>
      <c r="C647" s="13" t="s">
        <v>1146</v>
      </c>
      <c r="D647" s="101" t="s">
        <v>1890</v>
      </c>
      <c r="E647" s="102"/>
      <c r="F647" s="13" t="s">
        <v>2384</v>
      </c>
      <c r="G647" s="21">
        <v>28</v>
      </c>
      <c r="H647" s="72">
        <v>0</v>
      </c>
      <c r="I647" s="39"/>
    </row>
    <row r="648" spans="1:9" x14ac:dyDescent="0.3">
      <c r="A648" s="4" t="s">
        <v>474</v>
      </c>
      <c r="B648" s="13"/>
      <c r="C648" s="13" t="s">
        <v>1146</v>
      </c>
      <c r="D648" s="101" t="s">
        <v>1890</v>
      </c>
      <c r="E648" s="102"/>
      <c r="F648" s="13" t="s">
        <v>2384</v>
      </c>
      <c r="G648" s="21">
        <v>2</v>
      </c>
      <c r="H648" s="72">
        <v>0</v>
      </c>
      <c r="I648" s="39"/>
    </row>
    <row r="649" spans="1:9" x14ac:dyDescent="0.3">
      <c r="A649" s="4" t="s">
        <v>475</v>
      </c>
      <c r="B649" s="13"/>
      <c r="C649" s="13" t="s">
        <v>1146</v>
      </c>
      <c r="D649" s="101" t="s">
        <v>1890</v>
      </c>
      <c r="E649" s="102"/>
      <c r="F649" s="13" t="s">
        <v>2384</v>
      </c>
      <c r="G649" s="21">
        <v>2</v>
      </c>
      <c r="H649" s="72">
        <v>0</v>
      </c>
      <c r="I649" s="39"/>
    </row>
    <row r="650" spans="1:9" x14ac:dyDescent="0.3">
      <c r="A650" s="4" t="s">
        <v>476</v>
      </c>
      <c r="B650" s="13"/>
      <c r="C650" s="13" t="s">
        <v>1146</v>
      </c>
      <c r="D650" s="101" t="s">
        <v>1922</v>
      </c>
      <c r="E650" s="102"/>
      <c r="F650" s="13" t="s">
        <v>2386</v>
      </c>
      <c r="G650" s="21">
        <v>8</v>
      </c>
      <c r="H650" s="72">
        <v>0</v>
      </c>
      <c r="I650" s="39"/>
    </row>
    <row r="651" spans="1:9" x14ac:dyDescent="0.3">
      <c r="A651" s="4" t="s">
        <v>477</v>
      </c>
      <c r="B651" s="13"/>
      <c r="C651" s="13" t="s">
        <v>1146</v>
      </c>
      <c r="D651" s="101" t="s">
        <v>1917</v>
      </c>
      <c r="E651" s="102"/>
      <c r="F651" s="13" t="s">
        <v>2386</v>
      </c>
      <c r="G651" s="21">
        <v>18</v>
      </c>
      <c r="H651" s="72">
        <v>0</v>
      </c>
      <c r="I651" s="39"/>
    </row>
    <row r="652" spans="1:9" x14ac:dyDescent="0.3">
      <c r="A652" s="4" t="s">
        <v>478</v>
      </c>
      <c r="B652" s="13"/>
      <c r="C652" s="13" t="s">
        <v>1146</v>
      </c>
      <c r="D652" s="101" t="s">
        <v>1918</v>
      </c>
      <c r="E652" s="102"/>
      <c r="F652" s="13" t="s">
        <v>2386</v>
      </c>
      <c r="G652" s="21">
        <v>1</v>
      </c>
      <c r="H652" s="72">
        <v>0</v>
      </c>
      <c r="I652" s="39"/>
    </row>
    <row r="653" spans="1:9" x14ac:dyDescent="0.3">
      <c r="A653" s="4" t="s">
        <v>479</v>
      </c>
      <c r="B653" s="13"/>
      <c r="C653" s="13" t="s">
        <v>1146</v>
      </c>
      <c r="D653" s="101" t="s">
        <v>1923</v>
      </c>
      <c r="E653" s="102"/>
      <c r="F653" s="13" t="s">
        <v>2386</v>
      </c>
      <c r="G653" s="21">
        <v>1</v>
      </c>
      <c r="H653" s="72">
        <v>0</v>
      </c>
      <c r="I653" s="39"/>
    </row>
    <row r="654" spans="1:9" x14ac:dyDescent="0.3">
      <c r="A654" s="4" t="s">
        <v>480</v>
      </c>
      <c r="B654" s="13"/>
      <c r="C654" s="13" t="s">
        <v>1146</v>
      </c>
      <c r="D654" s="101" t="s">
        <v>1877</v>
      </c>
      <c r="E654" s="102"/>
      <c r="F654" s="13" t="s">
        <v>2384</v>
      </c>
      <c r="G654" s="21">
        <v>70</v>
      </c>
      <c r="H654" s="72">
        <v>0</v>
      </c>
      <c r="I654" s="39"/>
    </row>
    <row r="655" spans="1:9" x14ac:dyDescent="0.3">
      <c r="A655" s="4" t="s">
        <v>481</v>
      </c>
      <c r="B655" s="13"/>
      <c r="C655" s="13" t="s">
        <v>1146</v>
      </c>
      <c r="D655" s="101" t="s">
        <v>1879</v>
      </c>
      <c r="E655" s="102"/>
      <c r="F655" s="13" t="s">
        <v>2384</v>
      </c>
      <c r="G655" s="21">
        <v>43</v>
      </c>
      <c r="H655" s="72">
        <v>0</v>
      </c>
      <c r="I655" s="39"/>
    </row>
    <row r="656" spans="1:9" x14ac:dyDescent="0.3">
      <c r="A656" s="4" t="s">
        <v>482</v>
      </c>
      <c r="B656" s="13"/>
      <c r="C656" s="13" t="s">
        <v>1146</v>
      </c>
      <c r="D656" s="101" t="s">
        <v>1878</v>
      </c>
      <c r="E656" s="102"/>
      <c r="F656" s="13" t="s">
        <v>2385</v>
      </c>
      <c r="G656" s="21">
        <v>71</v>
      </c>
      <c r="H656" s="72">
        <v>0</v>
      </c>
      <c r="I656" s="39"/>
    </row>
    <row r="657" spans="1:9" x14ac:dyDescent="0.3">
      <c r="A657" s="4" t="s">
        <v>483</v>
      </c>
      <c r="B657" s="13"/>
      <c r="C657" s="13" t="s">
        <v>1146</v>
      </c>
      <c r="D657" s="101" t="s">
        <v>1878</v>
      </c>
      <c r="E657" s="102"/>
      <c r="F657" s="13" t="s">
        <v>2385</v>
      </c>
      <c r="G657" s="21">
        <v>120</v>
      </c>
      <c r="H657" s="72">
        <v>0</v>
      </c>
      <c r="I657" s="39"/>
    </row>
    <row r="658" spans="1:9" x14ac:dyDescent="0.3">
      <c r="A658" s="4" t="s">
        <v>484</v>
      </c>
      <c r="B658" s="13"/>
      <c r="C658" s="13" t="s">
        <v>1146</v>
      </c>
      <c r="D658" s="101" t="s">
        <v>1878</v>
      </c>
      <c r="E658" s="102"/>
      <c r="F658" s="13" t="s">
        <v>2385</v>
      </c>
      <c r="G658" s="21">
        <v>93</v>
      </c>
      <c r="H658" s="72">
        <v>0</v>
      </c>
      <c r="I658" s="39"/>
    </row>
    <row r="659" spans="1:9" x14ac:dyDescent="0.3">
      <c r="A659" s="4" t="s">
        <v>485</v>
      </c>
      <c r="B659" s="13"/>
      <c r="C659" s="13" t="s">
        <v>1146</v>
      </c>
      <c r="D659" s="101" t="s">
        <v>1919</v>
      </c>
      <c r="E659" s="102"/>
      <c r="F659" s="13" t="s">
        <v>2385</v>
      </c>
      <c r="G659" s="21">
        <v>114</v>
      </c>
      <c r="H659" s="72">
        <v>0</v>
      </c>
      <c r="I659" s="39"/>
    </row>
    <row r="660" spans="1:9" x14ac:dyDescent="0.3">
      <c r="A660" s="4" t="s">
        <v>486</v>
      </c>
      <c r="B660" s="13"/>
      <c r="C660" s="13" t="s">
        <v>1146</v>
      </c>
      <c r="D660" s="101" t="s">
        <v>1919</v>
      </c>
      <c r="E660" s="102"/>
      <c r="F660" s="13" t="s">
        <v>2385</v>
      </c>
      <c r="G660" s="21">
        <v>65</v>
      </c>
      <c r="H660" s="72">
        <v>0</v>
      </c>
      <c r="I660" s="39"/>
    </row>
    <row r="661" spans="1:9" x14ac:dyDescent="0.3">
      <c r="A661" s="4" t="s">
        <v>487</v>
      </c>
      <c r="B661" s="13"/>
      <c r="C661" s="13" t="s">
        <v>1146</v>
      </c>
      <c r="D661" s="101" t="s">
        <v>1919</v>
      </c>
      <c r="E661" s="102"/>
      <c r="F661" s="13" t="s">
        <v>2385</v>
      </c>
      <c r="G661" s="21">
        <v>10</v>
      </c>
      <c r="H661" s="72">
        <v>0</v>
      </c>
      <c r="I661" s="39"/>
    </row>
    <row r="662" spans="1:9" x14ac:dyDescent="0.3">
      <c r="A662" s="4" t="s">
        <v>488</v>
      </c>
      <c r="B662" s="13"/>
      <c r="C662" s="13" t="s">
        <v>1146</v>
      </c>
      <c r="D662" s="101" t="s">
        <v>1920</v>
      </c>
      <c r="E662" s="102"/>
      <c r="F662" s="13" t="s">
        <v>2385</v>
      </c>
      <c r="G662" s="21">
        <v>71</v>
      </c>
      <c r="H662" s="72">
        <v>0</v>
      </c>
      <c r="I662" s="39"/>
    </row>
    <row r="663" spans="1:9" x14ac:dyDescent="0.3">
      <c r="A663" s="4" t="s">
        <v>489</v>
      </c>
      <c r="B663" s="13"/>
      <c r="C663" s="13" t="s">
        <v>1146</v>
      </c>
      <c r="D663" s="101" t="s">
        <v>1920</v>
      </c>
      <c r="E663" s="102"/>
      <c r="F663" s="13" t="s">
        <v>2385</v>
      </c>
      <c r="G663" s="21">
        <v>120</v>
      </c>
      <c r="H663" s="72">
        <v>0</v>
      </c>
      <c r="I663" s="39"/>
    </row>
    <row r="664" spans="1:9" x14ac:dyDescent="0.3">
      <c r="A664" s="4" t="s">
        <v>490</v>
      </c>
      <c r="B664" s="13"/>
      <c r="C664" s="13" t="s">
        <v>1146</v>
      </c>
      <c r="D664" s="101" t="s">
        <v>1920</v>
      </c>
      <c r="E664" s="102"/>
      <c r="F664" s="13" t="s">
        <v>2385</v>
      </c>
      <c r="G664" s="21">
        <v>93</v>
      </c>
      <c r="H664" s="72">
        <v>0</v>
      </c>
      <c r="I664" s="39"/>
    </row>
    <row r="665" spans="1:9" x14ac:dyDescent="0.3">
      <c r="A665" s="4" t="s">
        <v>491</v>
      </c>
      <c r="B665" s="13"/>
      <c r="C665" s="13" t="s">
        <v>1146</v>
      </c>
      <c r="D665" s="101" t="s">
        <v>1920</v>
      </c>
      <c r="E665" s="102"/>
      <c r="F665" s="13" t="s">
        <v>2385</v>
      </c>
      <c r="G665" s="21">
        <v>114</v>
      </c>
      <c r="H665" s="72">
        <v>0</v>
      </c>
      <c r="I665" s="39"/>
    </row>
    <row r="666" spans="1:9" x14ac:dyDescent="0.3">
      <c r="A666" s="4" t="s">
        <v>492</v>
      </c>
      <c r="B666" s="13"/>
      <c r="C666" s="13" t="s">
        <v>1146</v>
      </c>
      <c r="D666" s="101" t="s">
        <v>1920</v>
      </c>
      <c r="E666" s="102"/>
      <c r="F666" s="13" t="s">
        <v>2385</v>
      </c>
      <c r="G666" s="21">
        <v>65</v>
      </c>
      <c r="H666" s="72">
        <v>0</v>
      </c>
      <c r="I666" s="39"/>
    </row>
    <row r="667" spans="1:9" x14ac:dyDescent="0.3">
      <c r="A667" s="4" t="s">
        <v>493</v>
      </c>
      <c r="B667" s="13"/>
      <c r="C667" s="13" t="s">
        <v>1146</v>
      </c>
      <c r="D667" s="101" t="s">
        <v>1920</v>
      </c>
      <c r="E667" s="102"/>
      <c r="F667" s="13" t="s">
        <v>2385</v>
      </c>
      <c r="G667" s="21">
        <v>10</v>
      </c>
      <c r="H667" s="72">
        <v>0</v>
      </c>
      <c r="I667" s="39"/>
    </row>
    <row r="668" spans="1:9" x14ac:dyDescent="0.3">
      <c r="A668" s="4" t="s">
        <v>494</v>
      </c>
      <c r="B668" s="13"/>
      <c r="C668" s="13" t="s">
        <v>1146</v>
      </c>
      <c r="D668" s="101" t="s">
        <v>1921</v>
      </c>
      <c r="E668" s="102"/>
      <c r="F668" s="13" t="s">
        <v>2386</v>
      </c>
      <c r="G668" s="21">
        <v>1</v>
      </c>
      <c r="H668" s="72">
        <v>0</v>
      </c>
      <c r="I668" s="39"/>
    </row>
    <row r="669" spans="1:9" x14ac:dyDescent="0.3">
      <c r="A669" s="4" t="s">
        <v>495</v>
      </c>
      <c r="B669" s="13"/>
      <c r="C669" s="13" t="s">
        <v>1146</v>
      </c>
      <c r="D669" s="101" t="s">
        <v>1924</v>
      </c>
      <c r="E669" s="102"/>
      <c r="F669" s="13" t="s">
        <v>2386</v>
      </c>
      <c r="G669" s="21">
        <v>1</v>
      </c>
      <c r="H669" s="72">
        <v>0</v>
      </c>
      <c r="I669" s="39"/>
    </row>
    <row r="670" spans="1:9" x14ac:dyDescent="0.3">
      <c r="A670" s="4" t="s">
        <v>496</v>
      </c>
      <c r="B670" s="13"/>
      <c r="C670" s="13" t="s">
        <v>1146</v>
      </c>
      <c r="D670" s="101" t="s">
        <v>1739</v>
      </c>
      <c r="E670" s="102"/>
      <c r="F670" s="13" t="s">
        <v>2386</v>
      </c>
      <c r="G670" s="21">
        <v>1</v>
      </c>
      <c r="H670" s="72">
        <v>0</v>
      </c>
      <c r="I670" s="39"/>
    </row>
    <row r="671" spans="1:9" x14ac:dyDescent="0.3">
      <c r="A671" s="4" t="s">
        <v>497</v>
      </c>
      <c r="B671" s="13"/>
      <c r="C671" s="13" t="s">
        <v>1146</v>
      </c>
      <c r="D671" s="101" t="s">
        <v>1740</v>
      </c>
      <c r="E671" s="102"/>
      <c r="F671" s="13" t="s">
        <v>2386</v>
      </c>
      <c r="G671" s="21">
        <v>1</v>
      </c>
      <c r="H671" s="72">
        <v>0</v>
      </c>
      <c r="I671" s="39"/>
    </row>
    <row r="672" spans="1:9" x14ac:dyDescent="0.3">
      <c r="A672" s="4" t="s">
        <v>498</v>
      </c>
      <c r="B672" s="13"/>
      <c r="C672" s="13" t="s">
        <v>1146</v>
      </c>
      <c r="D672" s="101" t="s">
        <v>1741</v>
      </c>
      <c r="E672" s="102"/>
      <c r="F672" s="13" t="s">
        <v>2386</v>
      </c>
      <c r="G672" s="21">
        <v>1</v>
      </c>
      <c r="H672" s="72">
        <v>0</v>
      </c>
      <c r="I672" s="39"/>
    </row>
    <row r="673" spans="1:9" x14ac:dyDescent="0.3">
      <c r="A673" s="4" t="s">
        <v>499</v>
      </c>
      <c r="B673" s="13"/>
      <c r="C673" s="13" t="s">
        <v>1146</v>
      </c>
      <c r="D673" s="101" t="s">
        <v>1742</v>
      </c>
      <c r="E673" s="102"/>
      <c r="F673" s="13" t="s">
        <v>2386</v>
      </c>
      <c r="G673" s="21">
        <v>1</v>
      </c>
      <c r="H673" s="72">
        <v>0</v>
      </c>
      <c r="I673" s="39"/>
    </row>
    <row r="674" spans="1:9" x14ac:dyDescent="0.3">
      <c r="A674" s="4" t="s">
        <v>500</v>
      </c>
      <c r="B674" s="13"/>
      <c r="C674" s="13" t="s">
        <v>1146</v>
      </c>
      <c r="D674" s="101" t="s">
        <v>1743</v>
      </c>
      <c r="E674" s="102"/>
      <c r="F674" s="13" t="s">
        <v>2386</v>
      </c>
      <c r="G674" s="21">
        <v>1</v>
      </c>
      <c r="H674" s="72">
        <v>0</v>
      </c>
      <c r="I674" s="39"/>
    </row>
    <row r="675" spans="1:9" x14ac:dyDescent="0.3">
      <c r="A675" s="4" t="s">
        <v>501</v>
      </c>
      <c r="B675" s="13"/>
      <c r="C675" s="13" t="s">
        <v>1146</v>
      </c>
      <c r="D675" s="101" t="s">
        <v>1744</v>
      </c>
      <c r="E675" s="102"/>
      <c r="F675" s="13" t="s">
        <v>2386</v>
      </c>
      <c r="G675" s="21">
        <v>1</v>
      </c>
      <c r="H675" s="72">
        <v>0</v>
      </c>
      <c r="I675" s="39"/>
    </row>
    <row r="676" spans="1:9" x14ac:dyDescent="0.3">
      <c r="A676" s="4" t="s">
        <v>502</v>
      </c>
      <c r="B676" s="13"/>
      <c r="C676" s="13" t="s">
        <v>1146</v>
      </c>
      <c r="D676" s="101" t="s">
        <v>1745</v>
      </c>
      <c r="E676" s="102"/>
      <c r="F676" s="13" t="s">
        <v>2386</v>
      </c>
      <c r="G676" s="21">
        <v>1</v>
      </c>
      <c r="H676" s="72">
        <v>0</v>
      </c>
      <c r="I676" s="39"/>
    </row>
    <row r="677" spans="1:9" x14ac:dyDescent="0.3">
      <c r="A677" s="4" t="s">
        <v>503</v>
      </c>
      <c r="B677" s="13"/>
      <c r="C677" s="13" t="s">
        <v>1146</v>
      </c>
      <c r="D677" s="101" t="s">
        <v>1746</v>
      </c>
      <c r="E677" s="102"/>
      <c r="F677" s="13" t="s">
        <v>2386</v>
      </c>
      <c r="G677" s="21">
        <v>1</v>
      </c>
      <c r="H677" s="72">
        <v>0</v>
      </c>
      <c r="I677" s="39"/>
    </row>
    <row r="678" spans="1:9" x14ac:dyDescent="0.3">
      <c r="A678" s="4" t="s">
        <v>504</v>
      </c>
      <c r="B678" s="13"/>
      <c r="C678" s="13" t="s">
        <v>1146</v>
      </c>
      <c r="D678" s="101" t="s">
        <v>1747</v>
      </c>
      <c r="E678" s="102"/>
      <c r="F678" s="13" t="s">
        <v>2386</v>
      </c>
      <c r="G678" s="21">
        <v>1</v>
      </c>
      <c r="H678" s="72">
        <v>0</v>
      </c>
      <c r="I678" s="39"/>
    </row>
    <row r="679" spans="1:9" x14ac:dyDescent="0.3">
      <c r="A679" s="4" t="s">
        <v>505</v>
      </c>
      <c r="B679" s="13"/>
      <c r="C679" s="13" t="s">
        <v>1146</v>
      </c>
      <c r="D679" s="101" t="s">
        <v>1880</v>
      </c>
      <c r="E679" s="102"/>
      <c r="F679" s="13" t="s">
        <v>2384</v>
      </c>
      <c r="G679" s="21">
        <v>98</v>
      </c>
      <c r="H679" s="72">
        <v>0</v>
      </c>
      <c r="I679" s="39"/>
    </row>
    <row r="680" spans="1:9" x14ac:dyDescent="0.3">
      <c r="A680" s="66"/>
      <c r="B680" s="14"/>
      <c r="C680" s="14" t="s">
        <v>768</v>
      </c>
      <c r="D680" s="103" t="s">
        <v>1925</v>
      </c>
      <c r="E680" s="104"/>
      <c r="F680" s="14"/>
      <c r="G680" s="31"/>
      <c r="H680" s="36"/>
      <c r="I680" s="39"/>
    </row>
    <row r="681" spans="1:9" x14ac:dyDescent="0.3">
      <c r="A681" s="4" t="s">
        <v>506</v>
      </c>
      <c r="B681" s="13"/>
      <c r="C681" s="13" t="s">
        <v>1147</v>
      </c>
      <c r="D681" s="101" t="s">
        <v>1926</v>
      </c>
      <c r="E681" s="102"/>
      <c r="F681" s="13" t="s">
        <v>2387</v>
      </c>
      <c r="G681" s="21">
        <v>77.913550000000001</v>
      </c>
      <c r="H681" s="72">
        <v>0</v>
      </c>
      <c r="I681" s="39"/>
    </row>
    <row r="682" spans="1:9" ht="12.25" customHeight="1" x14ac:dyDescent="0.3">
      <c r="A682" s="4"/>
      <c r="B682" s="13"/>
      <c r="C682" s="13"/>
      <c r="D682" s="67" t="s">
        <v>2596</v>
      </c>
      <c r="E682" s="138"/>
      <c r="F682" s="138"/>
      <c r="G682" s="69">
        <v>22.275549999999999</v>
      </c>
      <c r="H682" s="35"/>
      <c r="I682" s="39"/>
    </row>
    <row r="683" spans="1:9" ht="12.25" customHeight="1" x14ac:dyDescent="0.3">
      <c r="A683" s="4"/>
      <c r="B683" s="13"/>
      <c r="C683" s="13"/>
      <c r="D683" s="67" t="s">
        <v>2597</v>
      </c>
      <c r="E683" s="138"/>
      <c r="F683" s="138"/>
      <c r="G683" s="69">
        <v>36.662999999999997</v>
      </c>
      <c r="H683" s="35"/>
      <c r="I683" s="39"/>
    </row>
    <row r="684" spans="1:9" ht="12.25" customHeight="1" x14ac:dyDescent="0.3">
      <c r="A684" s="4"/>
      <c r="B684" s="13"/>
      <c r="C684" s="13"/>
      <c r="D684" s="67" t="s">
        <v>2598</v>
      </c>
      <c r="E684" s="138"/>
      <c r="F684" s="138"/>
      <c r="G684" s="69">
        <v>18.975000000000001</v>
      </c>
      <c r="H684" s="35"/>
      <c r="I684" s="39"/>
    </row>
    <row r="685" spans="1:9" x14ac:dyDescent="0.3">
      <c r="A685" s="4" t="s">
        <v>507</v>
      </c>
      <c r="B685" s="13"/>
      <c r="C685" s="13" t="s">
        <v>1148</v>
      </c>
      <c r="D685" s="101" t="s">
        <v>1927</v>
      </c>
      <c r="E685" s="102"/>
      <c r="F685" s="13" t="s">
        <v>2391</v>
      </c>
      <c r="G685" s="21">
        <v>1</v>
      </c>
      <c r="H685" s="72">
        <v>0</v>
      </c>
      <c r="I685" s="39"/>
    </row>
    <row r="686" spans="1:9" ht="12.25" customHeight="1" x14ac:dyDescent="0.3">
      <c r="A686" s="4"/>
      <c r="B686" s="13"/>
      <c r="C686" s="13"/>
      <c r="D686" s="67" t="s">
        <v>7</v>
      </c>
      <c r="E686" s="138"/>
      <c r="F686" s="138"/>
      <c r="G686" s="69">
        <v>1</v>
      </c>
      <c r="H686" s="35"/>
      <c r="I686" s="39"/>
    </row>
    <row r="687" spans="1:9" x14ac:dyDescent="0.3">
      <c r="A687" s="4" t="s">
        <v>508</v>
      </c>
      <c r="B687" s="13"/>
      <c r="C687" s="13" t="s">
        <v>1149</v>
      </c>
      <c r="D687" s="101" t="s">
        <v>1928</v>
      </c>
      <c r="E687" s="102"/>
      <c r="F687" s="13" t="s">
        <v>2391</v>
      </c>
      <c r="G687" s="21">
        <v>1</v>
      </c>
      <c r="H687" s="72">
        <v>0</v>
      </c>
      <c r="I687" s="39"/>
    </row>
    <row r="688" spans="1:9" ht="12.25" customHeight="1" x14ac:dyDescent="0.3">
      <c r="A688" s="4"/>
      <c r="B688" s="13"/>
      <c r="C688" s="13"/>
      <c r="D688" s="67" t="s">
        <v>7</v>
      </c>
      <c r="E688" s="138"/>
      <c r="F688" s="138"/>
      <c r="G688" s="69">
        <v>1</v>
      </c>
      <c r="H688" s="35"/>
      <c r="I688" s="39"/>
    </row>
    <row r="689" spans="1:9" x14ac:dyDescent="0.3">
      <c r="A689" s="4" t="s">
        <v>509</v>
      </c>
      <c r="B689" s="13"/>
      <c r="C689" s="13" t="s">
        <v>1150</v>
      </c>
      <c r="D689" s="101" t="s">
        <v>1929</v>
      </c>
      <c r="E689" s="102"/>
      <c r="F689" s="13" t="s">
        <v>2391</v>
      </c>
      <c r="G689" s="21">
        <v>1</v>
      </c>
      <c r="H689" s="72">
        <v>0</v>
      </c>
      <c r="I689" s="39"/>
    </row>
    <row r="690" spans="1:9" ht="12.25" customHeight="1" x14ac:dyDescent="0.3">
      <c r="A690" s="4"/>
      <c r="B690" s="13"/>
      <c r="C690" s="13"/>
      <c r="D690" s="67" t="s">
        <v>7</v>
      </c>
      <c r="E690" s="138"/>
      <c r="F690" s="138"/>
      <c r="G690" s="69">
        <v>1</v>
      </c>
      <c r="H690" s="35"/>
      <c r="I690" s="39"/>
    </row>
    <row r="691" spans="1:9" x14ac:dyDescent="0.3">
      <c r="A691" s="4" t="s">
        <v>510</v>
      </c>
      <c r="B691" s="13"/>
      <c r="C691" s="13" t="s">
        <v>1151</v>
      </c>
      <c r="D691" s="101" t="s">
        <v>1930</v>
      </c>
      <c r="E691" s="102"/>
      <c r="F691" s="13" t="s">
        <v>2391</v>
      </c>
      <c r="G691" s="21">
        <v>1</v>
      </c>
      <c r="H691" s="72">
        <v>0</v>
      </c>
      <c r="I691" s="39"/>
    </row>
    <row r="692" spans="1:9" ht="12.25" customHeight="1" x14ac:dyDescent="0.3">
      <c r="A692" s="4"/>
      <c r="B692" s="13"/>
      <c r="C692" s="13"/>
      <c r="D692" s="67" t="s">
        <v>7</v>
      </c>
      <c r="E692" s="138"/>
      <c r="F692" s="138"/>
      <c r="G692" s="69">
        <v>1</v>
      </c>
      <c r="H692" s="35"/>
      <c r="I692" s="39"/>
    </row>
    <row r="693" spans="1:9" x14ac:dyDescent="0.3">
      <c r="A693" s="4" t="s">
        <v>511</v>
      </c>
      <c r="B693" s="13"/>
      <c r="C693" s="13" t="s">
        <v>1152</v>
      </c>
      <c r="D693" s="101" t="s">
        <v>1931</v>
      </c>
      <c r="E693" s="102"/>
      <c r="F693" s="13" t="s">
        <v>2391</v>
      </c>
      <c r="G693" s="21">
        <v>1</v>
      </c>
      <c r="H693" s="72">
        <v>0</v>
      </c>
      <c r="I693" s="39"/>
    </row>
    <row r="694" spans="1:9" ht="12.25" customHeight="1" x14ac:dyDescent="0.3">
      <c r="A694" s="4"/>
      <c r="B694" s="13"/>
      <c r="C694" s="13"/>
      <c r="D694" s="67" t="s">
        <v>7</v>
      </c>
      <c r="E694" s="138"/>
      <c r="F694" s="138"/>
      <c r="G694" s="69">
        <v>1</v>
      </c>
      <c r="H694" s="35"/>
      <c r="I694" s="39"/>
    </row>
    <row r="695" spans="1:9" x14ac:dyDescent="0.3">
      <c r="A695" s="4" t="s">
        <v>512</v>
      </c>
      <c r="B695" s="13"/>
      <c r="C695" s="13" t="s">
        <v>1153</v>
      </c>
      <c r="D695" s="101" t="s">
        <v>1932</v>
      </c>
      <c r="E695" s="102"/>
      <c r="F695" s="13" t="s">
        <v>2391</v>
      </c>
      <c r="G695" s="21">
        <v>1</v>
      </c>
      <c r="H695" s="72">
        <v>0</v>
      </c>
      <c r="I695" s="39"/>
    </row>
    <row r="696" spans="1:9" ht="12.25" customHeight="1" x14ac:dyDescent="0.3">
      <c r="A696" s="4"/>
      <c r="B696" s="13"/>
      <c r="C696" s="13"/>
      <c r="D696" s="67" t="s">
        <v>7</v>
      </c>
      <c r="E696" s="138"/>
      <c r="F696" s="138"/>
      <c r="G696" s="69">
        <v>1</v>
      </c>
      <c r="H696" s="35"/>
      <c r="I696" s="39"/>
    </row>
    <row r="697" spans="1:9" x14ac:dyDescent="0.3">
      <c r="A697" s="4" t="s">
        <v>513</v>
      </c>
      <c r="B697" s="13"/>
      <c r="C697" s="13" t="s">
        <v>1154</v>
      </c>
      <c r="D697" s="101" t="s">
        <v>1933</v>
      </c>
      <c r="E697" s="102"/>
      <c r="F697" s="13" t="s">
        <v>2391</v>
      </c>
      <c r="G697" s="21">
        <v>1</v>
      </c>
      <c r="H697" s="72">
        <v>0</v>
      </c>
      <c r="I697" s="39"/>
    </row>
    <row r="698" spans="1:9" ht="12.25" customHeight="1" x14ac:dyDescent="0.3">
      <c r="A698" s="4"/>
      <c r="B698" s="13"/>
      <c r="C698" s="13"/>
      <c r="D698" s="67" t="s">
        <v>7</v>
      </c>
      <c r="E698" s="138"/>
      <c r="F698" s="138"/>
      <c r="G698" s="69">
        <v>1</v>
      </c>
      <c r="H698" s="35"/>
      <c r="I698" s="39"/>
    </row>
    <row r="699" spans="1:9" x14ac:dyDescent="0.3">
      <c r="A699" s="4" t="s">
        <v>514</v>
      </c>
      <c r="B699" s="13"/>
      <c r="C699" s="13" t="s">
        <v>1155</v>
      </c>
      <c r="D699" s="101" t="s">
        <v>1934</v>
      </c>
      <c r="E699" s="102"/>
      <c r="F699" s="13" t="s">
        <v>2391</v>
      </c>
      <c r="G699" s="21">
        <v>1</v>
      </c>
      <c r="H699" s="72">
        <v>0</v>
      </c>
      <c r="I699" s="39"/>
    </row>
    <row r="700" spans="1:9" ht="12.25" customHeight="1" x14ac:dyDescent="0.3">
      <c r="A700" s="4"/>
      <c r="B700" s="13"/>
      <c r="C700" s="13"/>
      <c r="D700" s="67" t="s">
        <v>7</v>
      </c>
      <c r="E700" s="138"/>
      <c r="F700" s="138"/>
      <c r="G700" s="69">
        <v>1</v>
      </c>
      <c r="H700" s="35"/>
      <c r="I700" s="39"/>
    </row>
    <row r="701" spans="1:9" x14ac:dyDescent="0.3">
      <c r="A701" s="4" t="s">
        <v>515</v>
      </c>
      <c r="B701" s="13"/>
      <c r="C701" s="13" t="s">
        <v>1156</v>
      </c>
      <c r="D701" s="101" t="s">
        <v>1935</v>
      </c>
      <c r="E701" s="102"/>
      <c r="F701" s="13" t="s">
        <v>2391</v>
      </c>
      <c r="G701" s="21">
        <v>1</v>
      </c>
      <c r="H701" s="72">
        <v>0</v>
      </c>
      <c r="I701" s="39"/>
    </row>
    <row r="702" spans="1:9" ht="12.25" customHeight="1" x14ac:dyDescent="0.3">
      <c r="A702" s="4"/>
      <c r="B702" s="13"/>
      <c r="C702" s="13"/>
      <c r="D702" s="67" t="s">
        <v>7</v>
      </c>
      <c r="E702" s="138"/>
      <c r="F702" s="138"/>
      <c r="G702" s="69">
        <v>1</v>
      </c>
      <c r="H702" s="35"/>
      <c r="I702" s="39"/>
    </row>
    <row r="703" spans="1:9" x14ac:dyDescent="0.3">
      <c r="A703" s="4" t="s">
        <v>516</v>
      </c>
      <c r="B703" s="13"/>
      <c r="C703" s="13" t="s">
        <v>1157</v>
      </c>
      <c r="D703" s="101" t="s">
        <v>1936</v>
      </c>
      <c r="E703" s="102"/>
      <c r="F703" s="13" t="s">
        <v>2391</v>
      </c>
      <c r="G703" s="21">
        <v>1</v>
      </c>
      <c r="H703" s="72">
        <v>0</v>
      </c>
      <c r="I703" s="39"/>
    </row>
    <row r="704" spans="1:9" ht="12.25" customHeight="1" x14ac:dyDescent="0.3">
      <c r="A704" s="4"/>
      <c r="B704" s="13"/>
      <c r="C704" s="13"/>
      <c r="D704" s="67" t="s">
        <v>7</v>
      </c>
      <c r="E704" s="138"/>
      <c r="F704" s="138"/>
      <c r="G704" s="69">
        <v>1</v>
      </c>
      <c r="H704" s="35"/>
      <c r="I704" s="39"/>
    </row>
    <row r="705" spans="1:9" x14ac:dyDescent="0.3">
      <c r="A705" s="4" t="s">
        <v>517</v>
      </c>
      <c r="B705" s="13"/>
      <c r="C705" s="13" t="s">
        <v>1158</v>
      </c>
      <c r="D705" s="101" t="s">
        <v>1937</v>
      </c>
      <c r="E705" s="102"/>
      <c r="F705" s="13" t="s">
        <v>2391</v>
      </c>
      <c r="G705" s="21">
        <v>1</v>
      </c>
      <c r="H705" s="72">
        <v>0</v>
      </c>
      <c r="I705" s="39"/>
    </row>
    <row r="706" spans="1:9" ht="12.25" customHeight="1" x14ac:dyDescent="0.3">
      <c r="A706" s="4"/>
      <c r="B706" s="13"/>
      <c r="C706" s="13"/>
      <c r="D706" s="67" t="s">
        <v>7</v>
      </c>
      <c r="E706" s="138"/>
      <c r="F706" s="138"/>
      <c r="G706" s="69">
        <v>1</v>
      </c>
      <c r="H706" s="35"/>
      <c r="I706" s="39"/>
    </row>
    <row r="707" spans="1:9" x14ac:dyDescent="0.3">
      <c r="A707" s="4" t="s">
        <v>518</v>
      </c>
      <c r="B707" s="13"/>
      <c r="C707" s="13" t="s">
        <v>1159</v>
      </c>
      <c r="D707" s="101" t="s">
        <v>1938</v>
      </c>
      <c r="E707" s="102"/>
      <c r="F707" s="13" t="s">
        <v>2391</v>
      </c>
      <c r="G707" s="21">
        <v>4</v>
      </c>
      <c r="H707" s="72">
        <v>0</v>
      </c>
      <c r="I707" s="39"/>
    </row>
    <row r="708" spans="1:9" ht="12.25" customHeight="1" x14ac:dyDescent="0.3">
      <c r="A708" s="4"/>
      <c r="B708" s="13"/>
      <c r="C708" s="13"/>
      <c r="D708" s="67" t="s">
        <v>10</v>
      </c>
      <c r="E708" s="138"/>
      <c r="F708" s="138"/>
      <c r="G708" s="69">
        <v>4</v>
      </c>
      <c r="H708" s="35"/>
      <c r="I708" s="39"/>
    </row>
    <row r="709" spans="1:9" x14ac:dyDescent="0.3">
      <c r="A709" s="4" t="s">
        <v>519</v>
      </c>
      <c r="B709" s="13"/>
      <c r="C709" s="13" t="s">
        <v>1160</v>
      </c>
      <c r="D709" s="101" t="s">
        <v>1939</v>
      </c>
      <c r="E709" s="102"/>
      <c r="F709" s="13" t="s">
        <v>2391</v>
      </c>
      <c r="G709" s="21">
        <v>0</v>
      </c>
      <c r="H709" s="72">
        <v>0</v>
      </c>
      <c r="I709" s="39"/>
    </row>
    <row r="710" spans="1:9" x14ac:dyDescent="0.3">
      <c r="A710" s="4" t="s">
        <v>520</v>
      </c>
      <c r="B710" s="13"/>
      <c r="C710" s="13" t="s">
        <v>1161</v>
      </c>
      <c r="D710" s="101" t="s">
        <v>1940</v>
      </c>
      <c r="E710" s="102"/>
      <c r="F710" s="13" t="s">
        <v>2391</v>
      </c>
      <c r="G710" s="21">
        <v>1</v>
      </c>
      <c r="H710" s="72">
        <v>0</v>
      </c>
      <c r="I710" s="39"/>
    </row>
    <row r="711" spans="1:9" ht="12.25" customHeight="1" x14ac:dyDescent="0.3">
      <c r="A711" s="4"/>
      <c r="B711" s="13"/>
      <c r="C711" s="13"/>
      <c r="D711" s="67" t="s">
        <v>7</v>
      </c>
      <c r="E711" s="138"/>
      <c r="F711" s="138"/>
      <c r="G711" s="69">
        <v>1</v>
      </c>
      <c r="H711" s="35"/>
      <c r="I711" s="39"/>
    </row>
    <row r="712" spans="1:9" x14ac:dyDescent="0.3">
      <c r="A712" s="4" t="s">
        <v>521</v>
      </c>
      <c r="B712" s="13"/>
      <c r="C712" s="13" t="s">
        <v>1160</v>
      </c>
      <c r="D712" s="101" t="s">
        <v>1941</v>
      </c>
      <c r="E712" s="102"/>
      <c r="F712" s="13" t="s">
        <v>2391</v>
      </c>
      <c r="G712" s="21">
        <v>1</v>
      </c>
      <c r="H712" s="72">
        <v>0</v>
      </c>
      <c r="I712" s="39"/>
    </row>
    <row r="713" spans="1:9" ht="12.25" customHeight="1" x14ac:dyDescent="0.3">
      <c r="A713" s="4"/>
      <c r="B713" s="13"/>
      <c r="C713" s="13"/>
      <c r="D713" s="67" t="s">
        <v>7</v>
      </c>
      <c r="E713" s="138"/>
      <c r="F713" s="138"/>
      <c r="G713" s="69">
        <v>1</v>
      </c>
      <c r="H713" s="35"/>
      <c r="I713" s="39"/>
    </row>
    <row r="714" spans="1:9" x14ac:dyDescent="0.3">
      <c r="A714" s="4" t="s">
        <v>522</v>
      </c>
      <c r="B714" s="13"/>
      <c r="C714" s="13" t="s">
        <v>1162</v>
      </c>
      <c r="D714" s="101" t="s">
        <v>1942</v>
      </c>
      <c r="E714" s="102"/>
      <c r="F714" s="13" t="s">
        <v>2391</v>
      </c>
      <c r="G714" s="21">
        <v>1</v>
      </c>
      <c r="H714" s="72">
        <v>0</v>
      </c>
      <c r="I714" s="39"/>
    </row>
    <row r="715" spans="1:9" ht="12.25" customHeight="1" x14ac:dyDescent="0.3">
      <c r="A715" s="4"/>
      <c r="B715" s="13"/>
      <c r="C715" s="13"/>
      <c r="D715" s="67" t="s">
        <v>7</v>
      </c>
      <c r="E715" s="138"/>
      <c r="F715" s="138"/>
      <c r="G715" s="69">
        <v>1</v>
      </c>
      <c r="H715" s="35"/>
      <c r="I715" s="39"/>
    </row>
    <row r="716" spans="1:9" x14ac:dyDescent="0.3">
      <c r="A716" s="66"/>
      <c r="B716" s="14"/>
      <c r="C716" s="14" t="s">
        <v>1163</v>
      </c>
      <c r="D716" s="103" t="s">
        <v>1943</v>
      </c>
      <c r="E716" s="104"/>
      <c r="F716" s="14"/>
      <c r="G716" s="31"/>
      <c r="H716" s="36"/>
      <c r="I716" s="39"/>
    </row>
    <row r="717" spans="1:9" x14ac:dyDescent="0.3">
      <c r="A717" s="4" t="s">
        <v>523</v>
      </c>
      <c r="B717" s="13"/>
      <c r="C717" s="13" t="s">
        <v>1164</v>
      </c>
      <c r="D717" s="101" t="s">
        <v>1944</v>
      </c>
      <c r="E717" s="102"/>
      <c r="F717" s="13" t="s">
        <v>2391</v>
      </c>
      <c r="G717" s="21">
        <v>176</v>
      </c>
      <c r="H717" s="72">
        <v>0</v>
      </c>
      <c r="I717" s="39"/>
    </row>
    <row r="718" spans="1:9" ht="12.25" customHeight="1" x14ac:dyDescent="0.3">
      <c r="A718" s="4"/>
      <c r="B718" s="13"/>
      <c r="C718" s="13"/>
      <c r="D718" s="67" t="s">
        <v>182</v>
      </c>
      <c r="E718" s="138"/>
      <c r="F718" s="138"/>
      <c r="G718" s="69">
        <v>176</v>
      </c>
      <c r="H718" s="35"/>
      <c r="I718" s="39"/>
    </row>
    <row r="719" spans="1:9" x14ac:dyDescent="0.3">
      <c r="A719" s="4" t="s">
        <v>524</v>
      </c>
      <c r="B719" s="13"/>
      <c r="C719" s="13" t="s">
        <v>1165</v>
      </c>
      <c r="D719" s="101" t="s">
        <v>1945</v>
      </c>
      <c r="E719" s="102"/>
      <c r="F719" s="13" t="s">
        <v>2391</v>
      </c>
      <c r="G719" s="21">
        <v>0</v>
      </c>
      <c r="H719" s="72">
        <v>0</v>
      </c>
      <c r="I719" s="39"/>
    </row>
    <row r="720" spans="1:9" ht="12.25" customHeight="1" x14ac:dyDescent="0.3">
      <c r="A720" s="4"/>
      <c r="B720" s="13"/>
      <c r="C720" s="13"/>
      <c r="D720" s="67" t="s">
        <v>2599</v>
      </c>
      <c r="E720" s="138"/>
      <c r="F720" s="138"/>
      <c r="G720" s="69">
        <v>0</v>
      </c>
      <c r="H720" s="35"/>
      <c r="I720" s="39"/>
    </row>
    <row r="721" spans="1:9" x14ac:dyDescent="0.3">
      <c r="A721" s="4" t="s">
        <v>525</v>
      </c>
      <c r="B721" s="13"/>
      <c r="C721" s="13" t="s">
        <v>1166</v>
      </c>
      <c r="D721" s="101" t="s">
        <v>1946</v>
      </c>
      <c r="E721" s="102"/>
      <c r="F721" s="13" t="s">
        <v>2391</v>
      </c>
      <c r="G721" s="21">
        <v>49</v>
      </c>
      <c r="H721" s="72">
        <v>0</v>
      </c>
      <c r="I721" s="39"/>
    </row>
    <row r="722" spans="1:9" ht="12.25" customHeight="1" x14ac:dyDescent="0.3">
      <c r="A722" s="4"/>
      <c r="B722" s="13"/>
      <c r="C722" s="13"/>
      <c r="D722" s="67" t="s">
        <v>55</v>
      </c>
      <c r="E722" s="138"/>
      <c r="F722" s="138"/>
      <c r="G722" s="69">
        <v>49</v>
      </c>
      <c r="H722" s="35"/>
      <c r="I722" s="39"/>
    </row>
    <row r="723" spans="1:9" x14ac:dyDescent="0.3">
      <c r="A723" s="4" t="s">
        <v>526</v>
      </c>
      <c r="B723" s="13"/>
      <c r="C723" s="13" t="s">
        <v>1167</v>
      </c>
      <c r="D723" s="101" t="s">
        <v>1947</v>
      </c>
      <c r="E723" s="102"/>
      <c r="F723" s="13" t="s">
        <v>2391</v>
      </c>
      <c r="G723" s="21">
        <v>6</v>
      </c>
      <c r="H723" s="72">
        <v>0</v>
      </c>
      <c r="I723" s="39"/>
    </row>
    <row r="724" spans="1:9" ht="12.25" customHeight="1" x14ac:dyDescent="0.3">
      <c r="A724" s="4"/>
      <c r="B724" s="13"/>
      <c r="C724" s="13"/>
      <c r="D724" s="67" t="s">
        <v>12</v>
      </c>
      <c r="E724" s="138"/>
      <c r="F724" s="138"/>
      <c r="G724" s="69">
        <v>6</v>
      </c>
      <c r="H724" s="35"/>
      <c r="I724" s="39"/>
    </row>
    <row r="725" spans="1:9" x14ac:dyDescent="0.3">
      <c r="A725" s="4" t="s">
        <v>527</v>
      </c>
      <c r="B725" s="13"/>
      <c r="C725" s="13" t="s">
        <v>1168</v>
      </c>
      <c r="D725" s="101" t="s">
        <v>1948</v>
      </c>
      <c r="E725" s="102"/>
      <c r="F725" s="13" t="s">
        <v>2391</v>
      </c>
      <c r="G725" s="21">
        <v>4</v>
      </c>
      <c r="H725" s="72">
        <v>0</v>
      </c>
      <c r="I725" s="39"/>
    </row>
    <row r="726" spans="1:9" ht="12.25" customHeight="1" x14ac:dyDescent="0.3">
      <c r="A726" s="4"/>
      <c r="B726" s="13"/>
      <c r="C726" s="13"/>
      <c r="D726" s="67" t="s">
        <v>10</v>
      </c>
      <c r="E726" s="138"/>
      <c r="F726" s="138"/>
      <c r="G726" s="69">
        <v>4</v>
      </c>
      <c r="H726" s="35"/>
      <c r="I726" s="39"/>
    </row>
    <row r="727" spans="1:9" x14ac:dyDescent="0.3">
      <c r="A727" s="4" t="s">
        <v>528</v>
      </c>
      <c r="B727" s="13"/>
      <c r="C727" s="13" t="s">
        <v>1169</v>
      </c>
      <c r="D727" s="101" t="s">
        <v>1949</v>
      </c>
      <c r="E727" s="102"/>
      <c r="F727" s="13" t="s">
        <v>2391</v>
      </c>
      <c r="G727" s="21">
        <v>28</v>
      </c>
      <c r="H727" s="72">
        <v>0</v>
      </c>
      <c r="I727" s="39"/>
    </row>
    <row r="728" spans="1:9" ht="12.25" customHeight="1" x14ac:dyDescent="0.3">
      <c r="A728" s="4"/>
      <c r="B728" s="13"/>
      <c r="C728" s="13"/>
      <c r="D728" s="67" t="s">
        <v>34</v>
      </c>
      <c r="E728" s="138"/>
      <c r="F728" s="138"/>
      <c r="G728" s="69">
        <v>28</v>
      </c>
      <c r="H728" s="35"/>
      <c r="I728" s="39"/>
    </row>
    <row r="729" spans="1:9" x14ac:dyDescent="0.3">
      <c r="A729" s="4" t="s">
        <v>529</v>
      </c>
      <c r="B729" s="13"/>
      <c r="C729" s="13" t="s">
        <v>1170</v>
      </c>
      <c r="D729" s="101" t="s">
        <v>1950</v>
      </c>
      <c r="E729" s="102"/>
      <c r="F729" s="13" t="s">
        <v>2391</v>
      </c>
      <c r="G729" s="21">
        <v>5</v>
      </c>
      <c r="H729" s="72">
        <v>0</v>
      </c>
      <c r="I729" s="39"/>
    </row>
    <row r="730" spans="1:9" ht="12.25" customHeight="1" x14ac:dyDescent="0.3">
      <c r="A730" s="4"/>
      <c r="B730" s="13"/>
      <c r="C730" s="13"/>
      <c r="D730" s="67" t="s">
        <v>11</v>
      </c>
      <c r="E730" s="138"/>
      <c r="F730" s="138"/>
      <c r="G730" s="69">
        <v>5</v>
      </c>
      <c r="H730" s="35"/>
      <c r="I730" s="39"/>
    </row>
    <row r="731" spans="1:9" x14ac:dyDescent="0.3">
      <c r="A731" s="4" t="s">
        <v>530</v>
      </c>
      <c r="B731" s="13"/>
      <c r="C731" s="13" t="s">
        <v>1171</v>
      </c>
      <c r="D731" s="101" t="s">
        <v>1951</v>
      </c>
      <c r="E731" s="102"/>
      <c r="F731" s="13" t="s">
        <v>2391</v>
      </c>
      <c r="G731" s="21">
        <v>1</v>
      </c>
      <c r="H731" s="72">
        <v>0</v>
      </c>
      <c r="I731" s="39"/>
    </row>
    <row r="732" spans="1:9" ht="12.25" customHeight="1" x14ac:dyDescent="0.3">
      <c r="A732" s="4"/>
      <c r="B732" s="13"/>
      <c r="C732" s="13"/>
      <c r="D732" s="67" t="s">
        <v>7</v>
      </c>
      <c r="E732" s="138"/>
      <c r="F732" s="138"/>
      <c r="G732" s="69">
        <v>1</v>
      </c>
      <c r="H732" s="35"/>
      <c r="I732" s="39"/>
    </row>
    <row r="733" spans="1:9" x14ac:dyDescent="0.3">
      <c r="A733" s="4" t="s">
        <v>531</v>
      </c>
      <c r="B733" s="13"/>
      <c r="C733" s="13" t="s">
        <v>1172</v>
      </c>
      <c r="D733" s="101" t="s">
        <v>1952</v>
      </c>
      <c r="E733" s="102"/>
      <c r="F733" s="13" t="s">
        <v>2391</v>
      </c>
      <c r="G733" s="21">
        <v>6</v>
      </c>
      <c r="H733" s="72">
        <v>0</v>
      </c>
      <c r="I733" s="39"/>
    </row>
    <row r="734" spans="1:9" ht="12.25" customHeight="1" x14ac:dyDescent="0.3">
      <c r="A734" s="4"/>
      <c r="B734" s="13"/>
      <c r="C734" s="13"/>
      <c r="D734" s="67" t="s">
        <v>12</v>
      </c>
      <c r="E734" s="138"/>
      <c r="F734" s="138"/>
      <c r="G734" s="69">
        <v>6</v>
      </c>
      <c r="H734" s="35"/>
      <c r="I734" s="39"/>
    </row>
    <row r="735" spans="1:9" x14ac:dyDescent="0.3">
      <c r="A735" s="4" t="s">
        <v>532</v>
      </c>
      <c r="B735" s="13"/>
      <c r="C735" s="13" t="s">
        <v>1173</v>
      </c>
      <c r="D735" s="101" t="s">
        <v>1953</v>
      </c>
      <c r="E735" s="102"/>
      <c r="F735" s="13" t="s">
        <v>2391</v>
      </c>
      <c r="G735" s="21">
        <v>3</v>
      </c>
      <c r="H735" s="72">
        <v>0</v>
      </c>
      <c r="I735" s="39"/>
    </row>
    <row r="736" spans="1:9" ht="12.25" customHeight="1" x14ac:dyDescent="0.3">
      <c r="A736" s="4"/>
      <c r="B736" s="13"/>
      <c r="C736" s="13"/>
      <c r="D736" s="67" t="s">
        <v>9</v>
      </c>
      <c r="E736" s="138"/>
      <c r="F736" s="138"/>
      <c r="G736" s="69">
        <v>3</v>
      </c>
      <c r="H736" s="35"/>
      <c r="I736" s="39"/>
    </row>
    <row r="737" spans="1:9" x14ac:dyDescent="0.3">
      <c r="A737" s="4" t="s">
        <v>533</v>
      </c>
      <c r="B737" s="13"/>
      <c r="C737" s="13" t="s">
        <v>1174</v>
      </c>
      <c r="D737" s="101" t="s">
        <v>1954</v>
      </c>
      <c r="E737" s="102"/>
      <c r="F737" s="13" t="s">
        <v>2391</v>
      </c>
      <c r="G737" s="21">
        <v>5</v>
      </c>
      <c r="H737" s="72">
        <v>0</v>
      </c>
      <c r="I737" s="39"/>
    </row>
    <row r="738" spans="1:9" ht="12.25" customHeight="1" x14ac:dyDescent="0.3">
      <c r="A738" s="4"/>
      <c r="B738" s="13"/>
      <c r="C738" s="13"/>
      <c r="D738" s="67" t="s">
        <v>11</v>
      </c>
      <c r="E738" s="138"/>
      <c r="F738" s="138"/>
      <c r="G738" s="69">
        <v>5</v>
      </c>
      <c r="H738" s="35"/>
      <c r="I738" s="39"/>
    </row>
    <row r="739" spans="1:9" x14ac:dyDescent="0.3">
      <c r="A739" s="4" t="s">
        <v>534</v>
      </c>
      <c r="B739" s="13"/>
      <c r="C739" s="13" t="s">
        <v>1175</v>
      </c>
      <c r="D739" s="101" t="s">
        <v>1955</v>
      </c>
      <c r="E739" s="102"/>
      <c r="F739" s="13" t="s">
        <v>2391</v>
      </c>
      <c r="G739" s="21">
        <v>6</v>
      </c>
      <c r="H739" s="72">
        <v>0</v>
      </c>
      <c r="I739" s="39"/>
    </row>
    <row r="740" spans="1:9" ht="12.25" customHeight="1" x14ac:dyDescent="0.3">
      <c r="A740" s="4"/>
      <c r="B740" s="13"/>
      <c r="C740" s="13"/>
      <c r="D740" s="67" t="s">
        <v>12</v>
      </c>
      <c r="E740" s="138"/>
      <c r="F740" s="138"/>
      <c r="G740" s="69">
        <v>6</v>
      </c>
      <c r="H740" s="35"/>
      <c r="I740" s="39"/>
    </row>
    <row r="741" spans="1:9" x14ac:dyDescent="0.3">
      <c r="A741" s="4" t="s">
        <v>535</v>
      </c>
      <c r="B741" s="13"/>
      <c r="C741" s="13" t="s">
        <v>1176</v>
      </c>
      <c r="D741" s="101" t="s">
        <v>1956</v>
      </c>
      <c r="E741" s="102"/>
      <c r="F741" s="13" t="s">
        <v>2391</v>
      </c>
      <c r="G741" s="21">
        <v>4</v>
      </c>
      <c r="H741" s="72">
        <v>0</v>
      </c>
      <c r="I741" s="39"/>
    </row>
    <row r="742" spans="1:9" ht="12.25" customHeight="1" x14ac:dyDescent="0.3">
      <c r="A742" s="4"/>
      <c r="B742" s="13"/>
      <c r="C742" s="13"/>
      <c r="D742" s="67" t="s">
        <v>10</v>
      </c>
      <c r="E742" s="138"/>
      <c r="F742" s="138"/>
      <c r="G742" s="69">
        <v>4</v>
      </c>
      <c r="H742" s="35"/>
      <c r="I742" s="39"/>
    </row>
    <row r="743" spans="1:9" x14ac:dyDescent="0.3">
      <c r="A743" s="4" t="s">
        <v>536</v>
      </c>
      <c r="B743" s="13"/>
      <c r="C743" s="13" t="s">
        <v>1177</v>
      </c>
      <c r="D743" s="101" t="s">
        <v>1957</v>
      </c>
      <c r="E743" s="102"/>
      <c r="F743" s="13" t="s">
        <v>2391</v>
      </c>
      <c r="G743" s="21">
        <v>20</v>
      </c>
      <c r="H743" s="72">
        <v>0</v>
      </c>
      <c r="I743" s="39"/>
    </row>
    <row r="744" spans="1:9" ht="12.25" customHeight="1" x14ac:dyDescent="0.3">
      <c r="A744" s="4"/>
      <c r="B744" s="13"/>
      <c r="C744" s="13"/>
      <c r="D744" s="67" t="s">
        <v>26</v>
      </c>
      <c r="E744" s="138"/>
      <c r="F744" s="138"/>
      <c r="G744" s="69">
        <v>20</v>
      </c>
      <c r="H744" s="35"/>
      <c r="I744" s="39"/>
    </row>
    <row r="745" spans="1:9" x14ac:dyDescent="0.3">
      <c r="A745" s="66"/>
      <c r="B745" s="14"/>
      <c r="C745" s="14" t="s">
        <v>1178</v>
      </c>
      <c r="D745" s="103" t="s">
        <v>2734</v>
      </c>
      <c r="E745" s="104"/>
      <c r="F745" s="14"/>
      <c r="G745" s="31"/>
      <c r="H745" s="36"/>
      <c r="I745" s="39"/>
    </row>
    <row r="746" spans="1:9" x14ac:dyDescent="0.3">
      <c r="A746" s="66"/>
      <c r="B746" s="14"/>
      <c r="C746" s="14" t="s">
        <v>1179</v>
      </c>
      <c r="D746" s="103" t="s">
        <v>1958</v>
      </c>
      <c r="E746" s="104"/>
      <c r="F746" s="14"/>
      <c r="G746" s="31"/>
      <c r="H746" s="36"/>
      <c r="I746" s="39"/>
    </row>
    <row r="747" spans="1:9" x14ac:dyDescent="0.3">
      <c r="A747" s="4" t="s">
        <v>549</v>
      </c>
      <c r="B747" s="13"/>
      <c r="C747" s="13" t="s">
        <v>1180</v>
      </c>
      <c r="D747" s="101" t="s">
        <v>1959</v>
      </c>
      <c r="E747" s="102"/>
      <c r="F747" s="13" t="s">
        <v>2391</v>
      </c>
      <c r="G747" s="21">
        <v>1</v>
      </c>
      <c r="H747" s="72">
        <v>0</v>
      </c>
      <c r="I747" s="39"/>
    </row>
    <row r="748" spans="1:9" ht="12.25" customHeight="1" x14ac:dyDescent="0.3">
      <c r="A748" s="4"/>
      <c r="B748" s="13"/>
      <c r="C748" s="13"/>
      <c r="D748" s="67" t="s">
        <v>7</v>
      </c>
      <c r="E748" s="138"/>
      <c r="F748" s="138"/>
      <c r="G748" s="69">
        <v>1</v>
      </c>
      <c r="H748" s="35"/>
      <c r="I748" s="39"/>
    </row>
    <row r="749" spans="1:9" x14ac:dyDescent="0.3">
      <c r="A749" s="4" t="s">
        <v>550</v>
      </c>
      <c r="B749" s="13"/>
      <c r="C749" s="13" t="s">
        <v>1181</v>
      </c>
      <c r="D749" s="101" t="s">
        <v>1960</v>
      </c>
      <c r="E749" s="102"/>
      <c r="F749" s="13" t="s">
        <v>2391</v>
      </c>
      <c r="G749" s="21">
        <v>1</v>
      </c>
      <c r="H749" s="72">
        <v>0</v>
      </c>
      <c r="I749" s="39"/>
    </row>
    <row r="750" spans="1:9" ht="12.25" customHeight="1" x14ac:dyDescent="0.3">
      <c r="A750" s="4"/>
      <c r="B750" s="13"/>
      <c r="C750" s="13"/>
      <c r="D750" s="67" t="s">
        <v>7</v>
      </c>
      <c r="E750" s="138"/>
      <c r="F750" s="138"/>
      <c r="G750" s="69">
        <v>1</v>
      </c>
      <c r="H750" s="35"/>
      <c r="I750" s="39"/>
    </row>
    <row r="751" spans="1:9" x14ac:dyDescent="0.3">
      <c r="A751" s="4" t="s">
        <v>551</v>
      </c>
      <c r="B751" s="13"/>
      <c r="C751" s="13" t="s">
        <v>1182</v>
      </c>
      <c r="D751" s="101" t="s">
        <v>1961</v>
      </c>
      <c r="E751" s="102"/>
      <c r="F751" s="13" t="s">
        <v>2391</v>
      </c>
      <c r="G751" s="21">
        <v>6</v>
      </c>
      <c r="H751" s="72">
        <v>0</v>
      </c>
      <c r="I751" s="39"/>
    </row>
    <row r="752" spans="1:9" ht="12.25" customHeight="1" x14ac:dyDescent="0.3">
      <c r="A752" s="4"/>
      <c r="B752" s="13"/>
      <c r="C752" s="13"/>
      <c r="D752" s="67" t="s">
        <v>12</v>
      </c>
      <c r="E752" s="138"/>
      <c r="F752" s="138"/>
      <c r="G752" s="69">
        <v>6</v>
      </c>
      <c r="H752" s="35"/>
      <c r="I752" s="39"/>
    </row>
    <row r="753" spans="1:9" x14ac:dyDescent="0.3">
      <c r="A753" s="4" t="s">
        <v>552</v>
      </c>
      <c r="B753" s="13"/>
      <c r="C753" s="13" t="s">
        <v>1183</v>
      </c>
      <c r="D753" s="101" t="s">
        <v>1962</v>
      </c>
      <c r="E753" s="102"/>
      <c r="F753" s="13" t="s">
        <v>2391</v>
      </c>
      <c r="G753" s="21">
        <v>8</v>
      </c>
      <c r="H753" s="72">
        <v>0</v>
      </c>
      <c r="I753" s="39"/>
    </row>
    <row r="754" spans="1:9" ht="12.25" customHeight="1" x14ac:dyDescent="0.3">
      <c r="A754" s="4"/>
      <c r="B754" s="13"/>
      <c r="C754" s="13"/>
      <c r="D754" s="67" t="s">
        <v>14</v>
      </c>
      <c r="E754" s="138"/>
      <c r="F754" s="138"/>
      <c r="G754" s="69">
        <v>8</v>
      </c>
      <c r="H754" s="35"/>
      <c r="I754" s="39"/>
    </row>
    <row r="755" spans="1:9" x14ac:dyDescent="0.3">
      <c r="A755" s="4" t="s">
        <v>553</v>
      </c>
      <c r="B755" s="13"/>
      <c r="C755" s="13" t="s">
        <v>1184</v>
      </c>
      <c r="D755" s="101" t="s">
        <v>1963</v>
      </c>
      <c r="E755" s="102"/>
      <c r="F755" s="13" t="s">
        <v>2391</v>
      </c>
      <c r="G755" s="21">
        <v>1</v>
      </c>
      <c r="H755" s="72">
        <v>0</v>
      </c>
      <c r="I755" s="39"/>
    </row>
    <row r="756" spans="1:9" ht="12.25" customHeight="1" x14ac:dyDescent="0.3">
      <c r="A756" s="4"/>
      <c r="B756" s="13"/>
      <c r="C756" s="13"/>
      <c r="D756" s="67" t="s">
        <v>7</v>
      </c>
      <c r="E756" s="138"/>
      <c r="F756" s="138"/>
      <c r="G756" s="69">
        <v>1</v>
      </c>
      <c r="H756" s="35"/>
      <c r="I756" s="39"/>
    </row>
    <row r="757" spans="1:9" x14ac:dyDescent="0.3">
      <c r="A757" s="4" t="s">
        <v>554</v>
      </c>
      <c r="B757" s="13"/>
      <c r="C757" s="13" t="s">
        <v>1185</v>
      </c>
      <c r="D757" s="101" t="s">
        <v>1964</v>
      </c>
      <c r="E757" s="102"/>
      <c r="F757" s="13" t="s">
        <v>2391</v>
      </c>
      <c r="G757" s="21">
        <v>1</v>
      </c>
      <c r="H757" s="72">
        <v>0</v>
      </c>
      <c r="I757" s="39"/>
    </row>
    <row r="758" spans="1:9" ht="12.25" customHeight="1" x14ac:dyDescent="0.3">
      <c r="A758" s="4"/>
      <c r="B758" s="13"/>
      <c r="C758" s="13"/>
      <c r="D758" s="67" t="s">
        <v>7</v>
      </c>
      <c r="E758" s="138"/>
      <c r="F758" s="138"/>
      <c r="G758" s="69">
        <v>1</v>
      </c>
      <c r="H758" s="35"/>
      <c r="I758" s="39"/>
    </row>
    <row r="759" spans="1:9" x14ac:dyDescent="0.3">
      <c r="A759" s="4" t="s">
        <v>555</v>
      </c>
      <c r="B759" s="13"/>
      <c r="C759" s="13" t="s">
        <v>1186</v>
      </c>
      <c r="D759" s="101" t="s">
        <v>1965</v>
      </c>
      <c r="E759" s="102"/>
      <c r="F759" s="13" t="s">
        <v>2391</v>
      </c>
      <c r="G759" s="21">
        <v>1</v>
      </c>
      <c r="H759" s="72">
        <v>0</v>
      </c>
      <c r="I759" s="39"/>
    </row>
    <row r="760" spans="1:9" ht="12.25" customHeight="1" x14ac:dyDescent="0.3">
      <c r="A760" s="4"/>
      <c r="B760" s="13"/>
      <c r="C760" s="13"/>
      <c r="D760" s="67" t="s">
        <v>7</v>
      </c>
      <c r="E760" s="138"/>
      <c r="F760" s="138"/>
      <c r="G760" s="69">
        <v>1</v>
      </c>
      <c r="H760" s="35"/>
      <c r="I760" s="39"/>
    </row>
    <row r="761" spans="1:9" x14ac:dyDescent="0.3">
      <c r="A761" s="4" t="s">
        <v>556</v>
      </c>
      <c r="B761" s="13"/>
      <c r="C761" s="13" t="s">
        <v>1187</v>
      </c>
      <c r="D761" s="101" t="s">
        <v>1966</v>
      </c>
      <c r="E761" s="102"/>
      <c r="F761" s="13" t="s">
        <v>2391</v>
      </c>
      <c r="G761" s="21">
        <v>112</v>
      </c>
      <c r="H761" s="72">
        <v>0</v>
      </c>
      <c r="I761" s="39"/>
    </row>
    <row r="762" spans="1:9" ht="12.25" customHeight="1" x14ac:dyDescent="0.3">
      <c r="A762" s="4"/>
      <c r="B762" s="13"/>
      <c r="C762" s="13"/>
      <c r="D762" s="67" t="s">
        <v>118</v>
      </c>
      <c r="E762" s="138"/>
      <c r="F762" s="138"/>
      <c r="G762" s="69">
        <v>112</v>
      </c>
      <c r="H762" s="35"/>
      <c r="I762" s="39"/>
    </row>
    <row r="763" spans="1:9" x14ac:dyDescent="0.3">
      <c r="A763" s="4" t="s">
        <v>557</v>
      </c>
      <c r="B763" s="13"/>
      <c r="C763" s="13" t="s">
        <v>1188</v>
      </c>
      <c r="D763" s="101" t="s">
        <v>1967</v>
      </c>
      <c r="E763" s="102"/>
      <c r="F763" s="13" t="s">
        <v>2391</v>
      </c>
      <c r="G763" s="21">
        <v>1</v>
      </c>
      <c r="H763" s="72">
        <v>0</v>
      </c>
      <c r="I763" s="39"/>
    </row>
    <row r="764" spans="1:9" ht="12.25" customHeight="1" x14ac:dyDescent="0.3">
      <c r="A764" s="4"/>
      <c r="B764" s="13"/>
      <c r="C764" s="13"/>
      <c r="D764" s="67" t="s">
        <v>7</v>
      </c>
      <c r="E764" s="138"/>
      <c r="F764" s="138"/>
      <c r="G764" s="69">
        <v>1</v>
      </c>
      <c r="H764" s="35"/>
      <c r="I764" s="39"/>
    </row>
    <row r="765" spans="1:9" x14ac:dyDescent="0.3">
      <c r="A765" s="4" t="s">
        <v>558</v>
      </c>
      <c r="B765" s="13"/>
      <c r="C765" s="13" t="s">
        <v>1189</v>
      </c>
      <c r="D765" s="101" t="s">
        <v>1968</v>
      </c>
      <c r="E765" s="102"/>
      <c r="F765" s="13" t="s">
        <v>2391</v>
      </c>
      <c r="G765" s="21">
        <v>1</v>
      </c>
      <c r="H765" s="72">
        <v>0</v>
      </c>
      <c r="I765" s="39"/>
    </row>
    <row r="766" spans="1:9" ht="12.25" customHeight="1" x14ac:dyDescent="0.3">
      <c r="A766" s="4"/>
      <c r="B766" s="13"/>
      <c r="C766" s="13"/>
      <c r="D766" s="67" t="s">
        <v>7</v>
      </c>
      <c r="E766" s="138"/>
      <c r="F766" s="138"/>
      <c r="G766" s="69">
        <v>1</v>
      </c>
      <c r="H766" s="35"/>
      <c r="I766" s="39"/>
    </row>
    <row r="767" spans="1:9" x14ac:dyDescent="0.3">
      <c r="A767" s="4" t="s">
        <v>559</v>
      </c>
      <c r="B767" s="13"/>
      <c r="C767" s="13" t="s">
        <v>1190</v>
      </c>
      <c r="D767" s="101" t="s">
        <v>1969</v>
      </c>
      <c r="E767" s="102"/>
      <c r="F767" s="13" t="s">
        <v>2391</v>
      </c>
      <c r="G767" s="21">
        <v>1</v>
      </c>
      <c r="H767" s="72">
        <v>0</v>
      </c>
      <c r="I767" s="39"/>
    </row>
    <row r="768" spans="1:9" ht="12.25" customHeight="1" x14ac:dyDescent="0.3">
      <c r="A768" s="4"/>
      <c r="B768" s="13"/>
      <c r="C768" s="13"/>
      <c r="D768" s="67" t="s">
        <v>7</v>
      </c>
      <c r="E768" s="138"/>
      <c r="F768" s="138"/>
      <c r="G768" s="69">
        <v>1</v>
      </c>
      <c r="H768" s="35"/>
      <c r="I768" s="39"/>
    </row>
    <row r="769" spans="1:9" x14ac:dyDescent="0.3">
      <c r="A769" s="4" t="s">
        <v>560</v>
      </c>
      <c r="B769" s="13"/>
      <c r="C769" s="13" t="s">
        <v>1191</v>
      </c>
      <c r="D769" s="101" t="s">
        <v>1970</v>
      </c>
      <c r="E769" s="102"/>
      <c r="F769" s="13" t="s">
        <v>2391</v>
      </c>
      <c r="G769" s="21">
        <v>14</v>
      </c>
      <c r="H769" s="72">
        <v>0</v>
      </c>
      <c r="I769" s="39"/>
    </row>
    <row r="770" spans="1:9" ht="12.25" customHeight="1" x14ac:dyDescent="0.3">
      <c r="A770" s="4"/>
      <c r="B770" s="13"/>
      <c r="C770" s="13"/>
      <c r="D770" s="67" t="s">
        <v>20</v>
      </c>
      <c r="E770" s="138"/>
      <c r="F770" s="138"/>
      <c r="G770" s="69">
        <v>14</v>
      </c>
      <c r="H770" s="35"/>
      <c r="I770" s="39"/>
    </row>
    <row r="771" spans="1:9" x14ac:dyDescent="0.3">
      <c r="A771" s="4" t="s">
        <v>561</v>
      </c>
      <c r="B771" s="13"/>
      <c r="C771" s="13" t="s">
        <v>1192</v>
      </c>
      <c r="D771" s="101" t="s">
        <v>1971</v>
      </c>
      <c r="E771" s="102"/>
      <c r="F771" s="13" t="s">
        <v>2391</v>
      </c>
      <c r="G771" s="21">
        <v>1</v>
      </c>
      <c r="H771" s="72">
        <v>0</v>
      </c>
      <c r="I771" s="39"/>
    </row>
    <row r="772" spans="1:9" ht="12.25" customHeight="1" x14ac:dyDescent="0.3">
      <c r="A772" s="4"/>
      <c r="B772" s="13"/>
      <c r="C772" s="13"/>
      <c r="D772" s="67" t="s">
        <v>7</v>
      </c>
      <c r="E772" s="138"/>
      <c r="F772" s="138"/>
      <c r="G772" s="69">
        <v>1</v>
      </c>
      <c r="H772" s="35"/>
      <c r="I772" s="39"/>
    </row>
    <row r="773" spans="1:9" x14ac:dyDescent="0.3">
      <c r="A773" s="4" t="s">
        <v>562</v>
      </c>
      <c r="B773" s="13"/>
      <c r="C773" s="13" t="s">
        <v>1193</v>
      </c>
      <c r="D773" s="101" t="s">
        <v>1972</v>
      </c>
      <c r="E773" s="102"/>
      <c r="F773" s="13" t="s">
        <v>2391</v>
      </c>
      <c r="G773" s="21">
        <v>1</v>
      </c>
      <c r="H773" s="72">
        <v>0</v>
      </c>
      <c r="I773" s="39"/>
    </row>
    <row r="774" spans="1:9" ht="12.25" customHeight="1" x14ac:dyDescent="0.3">
      <c r="A774" s="4"/>
      <c r="B774" s="13"/>
      <c r="C774" s="13"/>
      <c r="D774" s="67" t="s">
        <v>7</v>
      </c>
      <c r="E774" s="138"/>
      <c r="F774" s="138"/>
      <c r="G774" s="69">
        <v>1</v>
      </c>
      <c r="H774" s="35"/>
      <c r="I774" s="39"/>
    </row>
    <row r="775" spans="1:9" x14ac:dyDescent="0.3">
      <c r="A775" s="4" t="s">
        <v>563</v>
      </c>
      <c r="B775" s="13"/>
      <c r="C775" s="13" t="s">
        <v>1194</v>
      </c>
      <c r="D775" s="101" t="s">
        <v>1973</v>
      </c>
      <c r="E775" s="102"/>
      <c r="F775" s="13" t="s">
        <v>2391</v>
      </c>
      <c r="G775" s="21">
        <v>1</v>
      </c>
      <c r="H775" s="72">
        <v>0</v>
      </c>
      <c r="I775" s="39"/>
    </row>
    <row r="776" spans="1:9" ht="12.25" customHeight="1" x14ac:dyDescent="0.3">
      <c r="A776" s="4"/>
      <c r="B776" s="13"/>
      <c r="C776" s="13"/>
      <c r="D776" s="67" t="s">
        <v>7</v>
      </c>
      <c r="E776" s="138"/>
      <c r="F776" s="138"/>
      <c r="G776" s="69">
        <v>1</v>
      </c>
      <c r="H776" s="35"/>
      <c r="I776" s="39"/>
    </row>
    <row r="777" spans="1:9" x14ac:dyDescent="0.3">
      <c r="A777" s="4" t="s">
        <v>564</v>
      </c>
      <c r="B777" s="13"/>
      <c r="C777" s="13" t="s">
        <v>1195</v>
      </c>
      <c r="D777" s="101" t="s">
        <v>1974</v>
      </c>
      <c r="E777" s="102"/>
      <c r="F777" s="13" t="s">
        <v>2391</v>
      </c>
      <c r="G777" s="21">
        <v>1</v>
      </c>
      <c r="H777" s="72">
        <v>0</v>
      </c>
      <c r="I777" s="39"/>
    </row>
    <row r="778" spans="1:9" ht="12.25" customHeight="1" x14ac:dyDescent="0.3">
      <c r="A778" s="4"/>
      <c r="B778" s="13"/>
      <c r="C778" s="13"/>
      <c r="D778" s="67" t="s">
        <v>7</v>
      </c>
      <c r="E778" s="138"/>
      <c r="F778" s="138"/>
      <c r="G778" s="69">
        <v>1</v>
      </c>
      <c r="H778" s="35"/>
      <c r="I778" s="39"/>
    </row>
    <row r="779" spans="1:9" x14ac:dyDescent="0.3">
      <c r="A779" s="4" t="s">
        <v>565</v>
      </c>
      <c r="B779" s="13"/>
      <c r="C779" s="13" t="s">
        <v>1196</v>
      </c>
      <c r="D779" s="101" t="s">
        <v>1975</v>
      </c>
      <c r="E779" s="102"/>
      <c r="F779" s="13" t="s">
        <v>2391</v>
      </c>
      <c r="G779" s="21">
        <v>1</v>
      </c>
      <c r="H779" s="72">
        <v>0</v>
      </c>
      <c r="I779" s="39"/>
    </row>
    <row r="780" spans="1:9" ht="12.25" customHeight="1" x14ac:dyDescent="0.3">
      <c r="A780" s="4"/>
      <c r="B780" s="13"/>
      <c r="C780" s="13"/>
      <c r="D780" s="67" t="s">
        <v>7</v>
      </c>
      <c r="E780" s="138"/>
      <c r="F780" s="138"/>
      <c r="G780" s="69">
        <v>1</v>
      </c>
      <c r="H780" s="35"/>
      <c r="I780" s="39"/>
    </row>
    <row r="781" spans="1:9" x14ac:dyDescent="0.3">
      <c r="A781" s="4" t="s">
        <v>566</v>
      </c>
      <c r="B781" s="13"/>
      <c r="C781" s="13" t="s">
        <v>1197</v>
      </c>
      <c r="D781" s="101" t="s">
        <v>1976</v>
      </c>
      <c r="E781" s="102"/>
      <c r="F781" s="13" t="s">
        <v>2391</v>
      </c>
      <c r="G781" s="21">
        <v>9</v>
      </c>
      <c r="H781" s="72">
        <v>0</v>
      </c>
      <c r="I781" s="39"/>
    </row>
    <row r="782" spans="1:9" ht="12.25" customHeight="1" x14ac:dyDescent="0.3">
      <c r="A782" s="4"/>
      <c r="B782" s="13"/>
      <c r="C782" s="13"/>
      <c r="D782" s="67" t="s">
        <v>15</v>
      </c>
      <c r="E782" s="138"/>
      <c r="F782" s="138"/>
      <c r="G782" s="69">
        <v>9</v>
      </c>
      <c r="H782" s="35"/>
      <c r="I782" s="39"/>
    </row>
    <row r="783" spans="1:9" x14ac:dyDescent="0.3">
      <c r="A783" s="4" t="s">
        <v>567</v>
      </c>
      <c r="B783" s="13"/>
      <c r="C783" s="13" t="s">
        <v>1198</v>
      </c>
      <c r="D783" s="101" t="s">
        <v>1977</v>
      </c>
      <c r="E783" s="102"/>
      <c r="F783" s="13" t="s">
        <v>2391</v>
      </c>
      <c r="G783" s="21">
        <v>18</v>
      </c>
      <c r="H783" s="72">
        <v>0</v>
      </c>
      <c r="I783" s="39"/>
    </row>
    <row r="784" spans="1:9" ht="12.25" customHeight="1" x14ac:dyDescent="0.3">
      <c r="A784" s="4"/>
      <c r="B784" s="13"/>
      <c r="C784" s="13"/>
      <c r="D784" s="67" t="s">
        <v>24</v>
      </c>
      <c r="E784" s="138"/>
      <c r="F784" s="138"/>
      <c r="G784" s="69">
        <v>18</v>
      </c>
      <c r="H784" s="35"/>
      <c r="I784" s="39"/>
    </row>
    <row r="785" spans="1:9" x14ac:dyDescent="0.3">
      <c r="A785" s="4" t="s">
        <v>568</v>
      </c>
      <c r="B785" s="13"/>
      <c r="C785" s="13" t="s">
        <v>1199</v>
      </c>
      <c r="D785" s="101" t="s">
        <v>1978</v>
      </c>
      <c r="E785" s="102"/>
      <c r="F785" s="13" t="s">
        <v>2391</v>
      </c>
      <c r="G785" s="21">
        <v>1</v>
      </c>
      <c r="H785" s="72">
        <v>0</v>
      </c>
      <c r="I785" s="39"/>
    </row>
    <row r="786" spans="1:9" ht="12.25" customHeight="1" x14ac:dyDescent="0.3">
      <c r="A786" s="4"/>
      <c r="B786" s="13"/>
      <c r="C786" s="13"/>
      <c r="D786" s="67" t="s">
        <v>7</v>
      </c>
      <c r="E786" s="138"/>
      <c r="F786" s="138"/>
      <c r="G786" s="69">
        <v>1</v>
      </c>
      <c r="H786" s="35"/>
      <c r="I786" s="39"/>
    </row>
    <row r="787" spans="1:9" x14ac:dyDescent="0.3">
      <c r="A787" s="4" t="s">
        <v>569</v>
      </c>
      <c r="B787" s="13"/>
      <c r="C787" s="13" t="s">
        <v>1200</v>
      </c>
      <c r="D787" s="101" t="s">
        <v>1979</v>
      </c>
      <c r="E787" s="102"/>
      <c r="F787" s="13" t="s">
        <v>2391</v>
      </c>
      <c r="G787" s="21">
        <v>1</v>
      </c>
      <c r="H787" s="72">
        <v>0</v>
      </c>
      <c r="I787" s="39"/>
    </row>
    <row r="788" spans="1:9" ht="12.25" customHeight="1" x14ac:dyDescent="0.3">
      <c r="A788" s="4"/>
      <c r="B788" s="13"/>
      <c r="C788" s="13"/>
      <c r="D788" s="67" t="s">
        <v>7</v>
      </c>
      <c r="E788" s="138"/>
      <c r="F788" s="138"/>
      <c r="G788" s="69">
        <v>1</v>
      </c>
      <c r="H788" s="35"/>
      <c r="I788" s="39"/>
    </row>
    <row r="789" spans="1:9" x14ac:dyDescent="0.3">
      <c r="A789" s="4" t="s">
        <v>570</v>
      </c>
      <c r="B789" s="13"/>
      <c r="C789" s="13" t="s">
        <v>1201</v>
      </c>
      <c r="D789" s="101" t="s">
        <v>1980</v>
      </c>
      <c r="E789" s="102"/>
      <c r="F789" s="13" t="s">
        <v>2391</v>
      </c>
      <c r="G789" s="21">
        <v>0</v>
      </c>
      <c r="H789" s="72">
        <v>0</v>
      </c>
      <c r="I789" s="39"/>
    </row>
    <row r="790" spans="1:9" ht="12.25" customHeight="1" x14ac:dyDescent="0.3">
      <c r="A790" s="4"/>
      <c r="B790" s="13"/>
      <c r="C790" s="13"/>
      <c r="D790" s="67" t="s">
        <v>2599</v>
      </c>
      <c r="E790" s="138"/>
      <c r="F790" s="138"/>
      <c r="G790" s="69">
        <v>0</v>
      </c>
      <c r="H790" s="35"/>
      <c r="I790" s="39"/>
    </row>
    <row r="791" spans="1:9" x14ac:dyDescent="0.3">
      <c r="A791" s="4" t="s">
        <v>571</v>
      </c>
      <c r="B791" s="13"/>
      <c r="C791" s="13" t="s">
        <v>1202</v>
      </c>
      <c r="D791" s="101" t="s">
        <v>1981</v>
      </c>
      <c r="E791" s="102"/>
      <c r="F791" s="13" t="s">
        <v>2391</v>
      </c>
      <c r="G791" s="21">
        <v>1</v>
      </c>
      <c r="H791" s="72">
        <v>0</v>
      </c>
      <c r="I791" s="39"/>
    </row>
    <row r="792" spans="1:9" ht="12.25" customHeight="1" x14ac:dyDescent="0.3">
      <c r="A792" s="4"/>
      <c r="B792" s="13"/>
      <c r="C792" s="13"/>
      <c r="D792" s="67" t="s">
        <v>7</v>
      </c>
      <c r="E792" s="138"/>
      <c r="F792" s="138"/>
      <c r="G792" s="69">
        <v>1</v>
      </c>
      <c r="H792" s="35"/>
      <c r="I792" s="39"/>
    </row>
    <row r="793" spans="1:9" x14ac:dyDescent="0.3">
      <c r="A793" s="4" t="s">
        <v>572</v>
      </c>
      <c r="B793" s="13"/>
      <c r="C793" s="13" t="s">
        <v>1203</v>
      </c>
      <c r="D793" s="101" t="s">
        <v>1982</v>
      </c>
      <c r="E793" s="102"/>
      <c r="F793" s="13" t="s">
        <v>2391</v>
      </c>
      <c r="G793" s="21">
        <v>1</v>
      </c>
      <c r="H793" s="72">
        <v>0</v>
      </c>
      <c r="I793" s="39"/>
    </row>
    <row r="794" spans="1:9" ht="12.25" customHeight="1" x14ac:dyDescent="0.3">
      <c r="A794" s="4"/>
      <c r="B794" s="13"/>
      <c r="C794" s="13"/>
      <c r="D794" s="67" t="s">
        <v>7</v>
      </c>
      <c r="E794" s="138"/>
      <c r="F794" s="138"/>
      <c r="G794" s="69">
        <v>1</v>
      </c>
      <c r="H794" s="35"/>
      <c r="I794" s="39"/>
    </row>
    <row r="795" spans="1:9" x14ac:dyDescent="0.3">
      <c r="A795" s="4" t="s">
        <v>573</v>
      </c>
      <c r="B795" s="13"/>
      <c r="C795" s="13" t="s">
        <v>1204</v>
      </c>
      <c r="D795" s="101" t="s">
        <v>1983</v>
      </c>
      <c r="E795" s="102"/>
      <c r="F795" s="13" t="s">
        <v>2391</v>
      </c>
      <c r="G795" s="21">
        <v>1</v>
      </c>
      <c r="H795" s="72">
        <v>0</v>
      </c>
      <c r="I795" s="39"/>
    </row>
    <row r="796" spans="1:9" ht="12.25" customHeight="1" x14ac:dyDescent="0.3">
      <c r="A796" s="4"/>
      <c r="B796" s="13"/>
      <c r="C796" s="13"/>
      <c r="D796" s="67" t="s">
        <v>7</v>
      </c>
      <c r="E796" s="138"/>
      <c r="F796" s="138"/>
      <c r="G796" s="69">
        <v>1</v>
      </c>
      <c r="H796" s="35"/>
      <c r="I796" s="39"/>
    </row>
    <row r="797" spans="1:9" x14ac:dyDescent="0.3">
      <c r="A797" s="4" t="s">
        <v>574</v>
      </c>
      <c r="B797" s="13"/>
      <c r="C797" s="13" t="s">
        <v>1205</v>
      </c>
      <c r="D797" s="101" t="s">
        <v>1984</v>
      </c>
      <c r="E797" s="102"/>
      <c r="F797" s="13" t="s">
        <v>2391</v>
      </c>
      <c r="G797" s="21">
        <v>1</v>
      </c>
      <c r="H797" s="72">
        <v>0</v>
      </c>
      <c r="I797" s="39"/>
    </row>
    <row r="798" spans="1:9" ht="12.25" customHeight="1" x14ac:dyDescent="0.3">
      <c r="A798" s="4"/>
      <c r="B798" s="13"/>
      <c r="C798" s="13"/>
      <c r="D798" s="67" t="s">
        <v>7</v>
      </c>
      <c r="E798" s="138"/>
      <c r="F798" s="138"/>
      <c r="G798" s="69">
        <v>1</v>
      </c>
      <c r="H798" s="35"/>
      <c r="I798" s="39"/>
    </row>
    <row r="799" spans="1:9" x14ac:dyDescent="0.3">
      <c r="A799" s="4" t="s">
        <v>575</v>
      </c>
      <c r="B799" s="13"/>
      <c r="C799" s="13" t="s">
        <v>1206</v>
      </c>
      <c r="D799" s="101" t="s">
        <v>1985</v>
      </c>
      <c r="E799" s="102"/>
      <c r="F799" s="13" t="s">
        <v>2391</v>
      </c>
      <c r="G799" s="21">
        <v>2</v>
      </c>
      <c r="H799" s="72">
        <v>0</v>
      </c>
      <c r="I799" s="39"/>
    </row>
    <row r="800" spans="1:9" ht="12.25" customHeight="1" x14ac:dyDescent="0.3">
      <c r="A800" s="4"/>
      <c r="B800" s="13"/>
      <c r="C800" s="13"/>
      <c r="D800" s="67" t="s">
        <v>8</v>
      </c>
      <c r="E800" s="138"/>
      <c r="F800" s="138"/>
      <c r="G800" s="69">
        <v>2</v>
      </c>
      <c r="H800" s="35"/>
      <c r="I800" s="39"/>
    </row>
    <row r="801" spans="1:9" x14ac:dyDescent="0.3">
      <c r="A801" s="4" t="s">
        <v>576</v>
      </c>
      <c r="B801" s="13"/>
      <c r="C801" s="13" t="s">
        <v>1207</v>
      </c>
      <c r="D801" s="101" t="s">
        <v>1986</v>
      </c>
      <c r="E801" s="102"/>
      <c r="F801" s="13" t="s">
        <v>2391</v>
      </c>
      <c r="G801" s="21">
        <v>1</v>
      </c>
      <c r="H801" s="72">
        <v>0</v>
      </c>
      <c r="I801" s="39"/>
    </row>
    <row r="802" spans="1:9" ht="12.25" customHeight="1" x14ac:dyDescent="0.3">
      <c r="A802" s="4"/>
      <c r="B802" s="13"/>
      <c r="C802" s="13"/>
      <c r="D802" s="67" t="s">
        <v>7</v>
      </c>
      <c r="E802" s="138"/>
      <c r="F802" s="138"/>
      <c r="G802" s="69">
        <v>1</v>
      </c>
      <c r="H802" s="35"/>
      <c r="I802" s="39"/>
    </row>
    <row r="803" spans="1:9" x14ac:dyDescent="0.3">
      <c r="A803" s="4" t="s">
        <v>577</v>
      </c>
      <c r="B803" s="13"/>
      <c r="C803" s="13" t="s">
        <v>1208</v>
      </c>
      <c r="D803" s="101" t="s">
        <v>1987</v>
      </c>
      <c r="E803" s="102"/>
      <c r="F803" s="13" t="s">
        <v>2391</v>
      </c>
      <c r="G803" s="21">
        <v>1</v>
      </c>
      <c r="H803" s="72">
        <v>0</v>
      </c>
      <c r="I803" s="39"/>
    </row>
    <row r="804" spans="1:9" ht="12.25" customHeight="1" x14ac:dyDescent="0.3">
      <c r="A804" s="4"/>
      <c r="B804" s="13"/>
      <c r="C804" s="13"/>
      <c r="D804" s="67" t="s">
        <v>7</v>
      </c>
      <c r="E804" s="138"/>
      <c r="F804" s="138"/>
      <c r="G804" s="69">
        <v>1</v>
      </c>
      <c r="H804" s="35"/>
      <c r="I804" s="39"/>
    </row>
    <row r="805" spans="1:9" x14ac:dyDescent="0.3">
      <c r="A805" s="4" t="s">
        <v>578</v>
      </c>
      <c r="B805" s="13"/>
      <c r="C805" s="13" t="s">
        <v>1209</v>
      </c>
      <c r="D805" s="101" t="s">
        <v>1988</v>
      </c>
      <c r="E805" s="102"/>
      <c r="F805" s="13" t="s">
        <v>2391</v>
      </c>
      <c r="G805" s="21">
        <v>1</v>
      </c>
      <c r="H805" s="72">
        <v>0</v>
      </c>
      <c r="I805" s="39"/>
    </row>
    <row r="806" spans="1:9" ht="12.25" customHeight="1" x14ac:dyDescent="0.3">
      <c r="A806" s="4"/>
      <c r="B806" s="13"/>
      <c r="C806" s="13"/>
      <c r="D806" s="67" t="s">
        <v>7</v>
      </c>
      <c r="E806" s="138"/>
      <c r="F806" s="138"/>
      <c r="G806" s="69">
        <v>1</v>
      </c>
      <c r="H806" s="35"/>
      <c r="I806" s="39"/>
    </row>
    <row r="807" spans="1:9" x14ac:dyDescent="0.3">
      <c r="A807" s="4" t="s">
        <v>579</v>
      </c>
      <c r="B807" s="13"/>
      <c r="C807" s="13" t="s">
        <v>1209</v>
      </c>
      <c r="D807" s="101" t="s">
        <v>1989</v>
      </c>
      <c r="E807" s="102"/>
      <c r="F807" s="13" t="s">
        <v>2391</v>
      </c>
      <c r="G807" s="21">
        <v>1</v>
      </c>
      <c r="H807" s="72">
        <v>0</v>
      </c>
      <c r="I807" s="39"/>
    </row>
    <row r="808" spans="1:9" ht="12.25" customHeight="1" x14ac:dyDescent="0.3">
      <c r="A808" s="4"/>
      <c r="B808" s="13"/>
      <c r="C808" s="13"/>
      <c r="D808" s="67" t="s">
        <v>7</v>
      </c>
      <c r="E808" s="138"/>
      <c r="F808" s="138"/>
      <c r="G808" s="69">
        <v>1</v>
      </c>
      <c r="H808" s="35"/>
      <c r="I808" s="39"/>
    </row>
    <row r="809" spans="1:9" x14ac:dyDescent="0.3">
      <c r="A809" s="4" t="s">
        <v>580</v>
      </c>
      <c r="B809" s="13"/>
      <c r="C809" s="13" t="s">
        <v>1210</v>
      </c>
      <c r="D809" s="101" t="s">
        <v>1990</v>
      </c>
      <c r="E809" s="102"/>
      <c r="F809" s="13" t="s">
        <v>2391</v>
      </c>
      <c r="G809" s="21">
        <v>1</v>
      </c>
      <c r="H809" s="72">
        <v>0</v>
      </c>
      <c r="I809" s="39"/>
    </row>
    <row r="810" spans="1:9" ht="12.25" customHeight="1" x14ac:dyDescent="0.3">
      <c r="A810" s="4"/>
      <c r="B810" s="13"/>
      <c r="C810" s="13"/>
      <c r="D810" s="67" t="s">
        <v>7</v>
      </c>
      <c r="E810" s="138"/>
      <c r="F810" s="138"/>
      <c r="G810" s="69">
        <v>1</v>
      </c>
      <c r="H810" s="35"/>
      <c r="I810" s="39"/>
    </row>
    <row r="811" spans="1:9" x14ac:dyDescent="0.3">
      <c r="A811" s="4" t="s">
        <v>581</v>
      </c>
      <c r="B811" s="13"/>
      <c r="C811" s="13" t="s">
        <v>1211</v>
      </c>
      <c r="D811" s="101" t="s">
        <v>1991</v>
      </c>
      <c r="E811" s="102"/>
      <c r="F811" s="13" t="s">
        <v>2391</v>
      </c>
      <c r="G811" s="21">
        <v>1</v>
      </c>
      <c r="H811" s="72">
        <v>0</v>
      </c>
      <c r="I811" s="39"/>
    </row>
    <row r="812" spans="1:9" ht="12.25" customHeight="1" x14ac:dyDescent="0.3">
      <c r="A812" s="4"/>
      <c r="B812" s="13"/>
      <c r="C812" s="13"/>
      <c r="D812" s="67" t="s">
        <v>7</v>
      </c>
      <c r="E812" s="138"/>
      <c r="F812" s="138"/>
      <c r="G812" s="69">
        <v>1</v>
      </c>
      <c r="H812" s="35"/>
      <c r="I812" s="39"/>
    </row>
    <row r="813" spans="1:9" x14ac:dyDescent="0.3">
      <c r="A813" s="4" t="s">
        <v>582</v>
      </c>
      <c r="B813" s="13"/>
      <c r="C813" s="13" t="s">
        <v>1212</v>
      </c>
      <c r="D813" s="101" t="s">
        <v>1992</v>
      </c>
      <c r="E813" s="102"/>
      <c r="F813" s="13" t="s">
        <v>2391</v>
      </c>
      <c r="G813" s="21">
        <v>1</v>
      </c>
      <c r="H813" s="72">
        <v>0</v>
      </c>
      <c r="I813" s="39"/>
    </row>
    <row r="814" spans="1:9" ht="12.25" customHeight="1" x14ac:dyDescent="0.3">
      <c r="A814" s="4"/>
      <c r="B814" s="13"/>
      <c r="C814" s="13"/>
      <c r="D814" s="67" t="s">
        <v>7</v>
      </c>
      <c r="E814" s="138"/>
      <c r="F814" s="138"/>
      <c r="G814" s="69">
        <v>1</v>
      </c>
      <c r="H814" s="35"/>
      <c r="I814" s="39"/>
    </row>
    <row r="815" spans="1:9" x14ac:dyDescent="0.3">
      <c r="A815" s="4" t="s">
        <v>583</v>
      </c>
      <c r="B815" s="13"/>
      <c r="C815" s="13" t="s">
        <v>1213</v>
      </c>
      <c r="D815" s="101" t="s">
        <v>1993</v>
      </c>
      <c r="E815" s="102"/>
      <c r="F815" s="13" t="s">
        <v>2391</v>
      </c>
      <c r="G815" s="21">
        <v>1</v>
      </c>
      <c r="H815" s="72">
        <v>0</v>
      </c>
      <c r="I815" s="39"/>
    </row>
    <row r="816" spans="1:9" ht="12.25" customHeight="1" x14ac:dyDescent="0.3">
      <c r="A816" s="4"/>
      <c r="B816" s="13"/>
      <c r="C816" s="13"/>
      <c r="D816" s="67" t="s">
        <v>7</v>
      </c>
      <c r="E816" s="138"/>
      <c r="F816" s="138"/>
      <c r="G816" s="69">
        <v>1</v>
      </c>
      <c r="H816" s="35"/>
      <c r="I816" s="39"/>
    </row>
    <row r="817" spans="1:9" x14ac:dyDescent="0.3">
      <c r="A817" s="4" t="s">
        <v>584</v>
      </c>
      <c r="B817" s="13"/>
      <c r="C817" s="13" t="s">
        <v>1214</v>
      </c>
      <c r="D817" s="101" t="s">
        <v>1994</v>
      </c>
      <c r="E817" s="102"/>
      <c r="F817" s="13" t="s">
        <v>2391</v>
      </c>
      <c r="G817" s="21">
        <v>1</v>
      </c>
      <c r="H817" s="72">
        <v>0</v>
      </c>
      <c r="I817" s="39"/>
    </row>
    <row r="818" spans="1:9" ht="12.25" customHeight="1" x14ac:dyDescent="0.3">
      <c r="A818" s="4"/>
      <c r="B818" s="13"/>
      <c r="C818" s="13"/>
      <c r="D818" s="67" t="s">
        <v>7</v>
      </c>
      <c r="E818" s="138"/>
      <c r="F818" s="138"/>
      <c r="G818" s="69">
        <v>1</v>
      </c>
      <c r="H818" s="35"/>
      <c r="I818" s="39"/>
    </row>
    <row r="819" spans="1:9" x14ac:dyDescent="0.3">
      <c r="A819" s="4" t="s">
        <v>585</v>
      </c>
      <c r="B819" s="13"/>
      <c r="C819" s="13" t="s">
        <v>1215</v>
      </c>
      <c r="D819" s="101" t="s">
        <v>1995</v>
      </c>
      <c r="E819" s="102"/>
      <c r="F819" s="13" t="s">
        <v>2391</v>
      </c>
      <c r="G819" s="21">
        <v>1</v>
      </c>
      <c r="H819" s="72">
        <v>0</v>
      </c>
      <c r="I819" s="39"/>
    </row>
    <row r="820" spans="1:9" ht="12.25" customHeight="1" x14ac:dyDescent="0.3">
      <c r="A820" s="4"/>
      <c r="B820" s="13"/>
      <c r="C820" s="13"/>
      <c r="D820" s="67" t="s">
        <v>7</v>
      </c>
      <c r="E820" s="138"/>
      <c r="F820" s="138"/>
      <c r="G820" s="69">
        <v>1</v>
      </c>
      <c r="H820" s="35"/>
      <c r="I820" s="39"/>
    </row>
    <row r="821" spans="1:9" x14ac:dyDescent="0.3">
      <c r="A821" s="4" t="s">
        <v>586</v>
      </c>
      <c r="B821" s="13"/>
      <c r="C821" s="13" t="s">
        <v>1216</v>
      </c>
      <c r="D821" s="101" t="s">
        <v>1996</v>
      </c>
      <c r="E821" s="102"/>
      <c r="F821" s="13" t="s">
        <v>2391</v>
      </c>
      <c r="G821" s="21">
        <v>1</v>
      </c>
      <c r="H821" s="72">
        <v>0</v>
      </c>
      <c r="I821" s="39"/>
    </row>
    <row r="822" spans="1:9" ht="12.25" customHeight="1" x14ac:dyDescent="0.3">
      <c r="A822" s="4"/>
      <c r="B822" s="13"/>
      <c r="C822" s="13"/>
      <c r="D822" s="67" t="s">
        <v>7</v>
      </c>
      <c r="E822" s="138"/>
      <c r="F822" s="138"/>
      <c r="G822" s="69">
        <v>1</v>
      </c>
      <c r="H822" s="35"/>
      <c r="I822" s="39"/>
    </row>
    <row r="823" spans="1:9" x14ac:dyDescent="0.3">
      <c r="A823" s="4" t="s">
        <v>587</v>
      </c>
      <c r="B823" s="13"/>
      <c r="C823" s="13" t="s">
        <v>1217</v>
      </c>
      <c r="D823" s="101" t="s">
        <v>1997</v>
      </c>
      <c r="E823" s="102"/>
      <c r="F823" s="13" t="s">
        <v>2391</v>
      </c>
      <c r="G823" s="21">
        <v>1</v>
      </c>
      <c r="H823" s="72">
        <v>0</v>
      </c>
      <c r="I823" s="39"/>
    </row>
    <row r="824" spans="1:9" ht="12.25" customHeight="1" x14ac:dyDescent="0.3">
      <c r="A824" s="4"/>
      <c r="B824" s="13"/>
      <c r="C824" s="13"/>
      <c r="D824" s="67" t="s">
        <v>7</v>
      </c>
      <c r="E824" s="138"/>
      <c r="F824" s="138"/>
      <c r="G824" s="69">
        <v>1</v>
      </c>
      <c r="H824" s="35"/>
      <c r="I824" s="39"/>
    </row>
    <row r="825" spans="1:9" x14ac:dyDescent="0.3">
      <c r="A825" s="4" t="s">
        <v>588</v>
      </c>
      <c r="B825" s="13"/>
      <c r="C825" s="13" t="s">
        <v>1218</v>
      </c>
      <c r="D825" s="101" t="s">
        <v>1998</v>
      </c>
      <c r="E825" s="102"/>
      <c r="F825" s="13" t="s">
        <v>2391</v>
      </c>
      <c r="G825" s="21">
        <v>2</v>
      </c>
      <c r="H825" s="72">
        <v>0</v>
      </c>
      <c r="I825" s="39"/>
    </row>
    <row r="826" spans="1:9" ht="12.25" customHeight="1" x14ac:dyDescent="0.3">
      <c r="A826" s="4"/>
      <c r="B826" s="13"/>
      <c r="C826" s="13"/>
      <c r="D826" s="67" t="s">
        <v>8</v>
      </c>
      <c r="E826" s="138"/>
      <c r="F826" s="138"/>
      <c r="G826" s="69">
        <v>2</v>
      </c>
      <c r="H826" s="35"/>
      <c r="I826" s="39"/>
    </row>
    <row r="827" spans="1:9" x14ac:dyDescent="0.3">
      <c r="A827" s="4" t="s">
        <v>589</v>
      </c>
      <c r="B827" s="13"/>
      <c r="C827" s="13" t="s">
        <v>1219</v>
      </c>
      <c r="D827" s="101" t="s">
        <v>1999</v>
      </c>
      <c r="E827" s="102"/>
      <c r="F827" s="13" t="s">
        <v>2391</v>
      </c>
      <c r="G827" s="21">
        <v>1</v>
      </c>
      <c r="H827" s="72">
        <v>0</v>
      </c>
      <c r="I827" s="39"/>
    </row>
    <row r="828" spans="1:9" ht="12.25" customHeight="1" x14ac:dyDescent="0.3">
      <c r="A828" s="4"/>
      <c r="B828" s="13"/>
      <c r="C828" s="13"/>
      <c r="D828" s="67" t="s">
        <v>7</v>
      </c>
      <c r="E828" s="138"/>
      <c r="F828" s="138"/>
      <c r="G828" s="69">
        <v>1</v>
      </c>
      <c r="H828" s="35"/>
      <c r="I828" s="39"/>
    </row>
    <row r="829" spans="1:9" x14ac:dyDescent="0.3">
      <c r="A829" s="4" t="s">
        <v>590</v>
      </c>
      <c r="B829" s="13"/>
      <c r="C829" s="13" t="s">
        <v>1220</v>
      </c>
      <c r="D829" s="101" t="s">
        <v>2000</v>
      </c>
      <c r="E829" s="102"/>
      <c r="F829" s="13" t="s">
        <v>2391</v>
      </c>
      <c r="G829" s="21">
        <v>1</v>
      </c>
      <c r="H829" s="72">
        <v>0</v>
      </c>
      <c r="I829" s="39"/>
    </row>
    <row r="830" spans="1:9" ht="12.25" customHeight="1" x14ac:dyDescent="0.3">
      <c r="A830" s="4"/>
      <c r="B830" s="13"/>
      <c r="C830" s="13"/>
      <c r="D830" s="67" t="s">
        <v>7</v>
      </c>
      <c r="E830" s="138"/>
      <c r="F830" s="138"/>
      <c r="G830" s="69">
        <v>1</v>
      </c>
      <c r="H830" s="35"/>
      <c r="I830" s="39"/>
    </row>
    <row r="831" spans="1:9" x14ac:dyDescent="0.3">
      <c r="A831" s="4" t="s">
        <v>591</v>
      </c>
      <c r="B831" s="13"/>
      <c r="C831" s="13" t="s">
        <v>1221</v>
      </c>
      <c r="D831" s="101" t="s">
        <v>2001</v>
      </c>
      <c r="E831" s="102"/>
      <c r="F831" s="13" t="s">
        <v>2391</v>
      </c>
      <c r="G831" s="21">
        <v>1</v>
      </c>
      <c r="H831" s="72">
        <v>0</v>
      </c>
      <c r="I831" s="39"/>
    </row>
    <row r="832" spans="1:9" ht="12.25" customHeight="1" x14ac:dyDescent="0.3">
      <c r="A832" s="4"/>
      <c r="B832" s="13"/>
      <c r="C832" s="13"/>
      <c r="D832" s="67" t="s">
        <v>7</v>
      </c>
      <c r="E832" s="138"/>
      <c r="F832" s="138"/>
      <c r="G832" s="69">
        <v>1</v>
      </c>
      <c r="H832" s="35"/>
      <c r="I832" s="39"/>
    </row>
    <row r="833" spans="1:9" x14ac:dyDescent="0.3">
      <c r="A833" s="4" t="s">
        <v>592</v>
      </c>
      <c r="B833" s="13"/>
      <c r="C833" s="13" t="s">
        <v>1222</v>
      </c>
      <c r="D833" s="101" t="s">
        <v>2002</v>
      </c>
      <c r="E833" s="102"/>
      <c r="F833" s="13" t="s">
        <v>2391</v>
      </c>
      <c r="G833" s="21">
        <v>1</v>
      </c>
      <c r="H833" s="72">
        <v>0</v>
      </c>
      <c r="I833" s="39"/>
    </row>
    <row r="834" spans="1:9" ht="12.25" customHeight="1" x14ac:dyDescent="0.3">
      <c r="A834" s="4"/>
      <c r="B834" s="13"/>
      <c r="C834" s="13"/>
      <c r="D834" s="67" t="s">
        <v>7</v>
      </c>
      <c r="E834" s="138"/>
      <c r="F834" s="138"/>
      <c r="G834" s="69">
        <v>1</v>
      </c>
      <c r="H834" s="35"/>
      <c r="I834" s="39"/>
    </row>
    <row r="835" spans="1:9" x14ac:dyDescent="0.3">
      <c r="A835" s="4" t="s">
        <v>593</v>
      </c>
      <c r="B835" s="13"/>
      <c r="C835" s="13" t="s">
        <v>1223</v>
      </c>
      <c r="D835" s="101" t="s">
        <v>2003</v>
      </c>
      <c r="E835" s="102"/>
      <c r="F835" s="13" t="s">
        <v>2391</v>
      </c>
      <c r="G835" s="21">
        <v>1</v>
      </c>
      <c r="H835" s="72">
        <v>0</v>
      </c>
      <c r="I835" s="39"/>
    </row>
    <row r="836" spans="1:9" ht="12.25" customHeight="1" x14ac:dyDescent="0.3">
      <c r="A836" s="4"/>
      <c r="B836" s="13"/>
      <c r="C836" s="13"/>
      <c r="D836" s="67" t="s">
        <v>7</v>
      </c>
      <c r="E836" s="138"/>
      <c r="F836" s="138"/>
      <c r="G836" s="69">
        <v>1</v>
      </c>
      <c r="H836" s="35"/>
      <c r="I836" s="39"/>
    </row>
    <row r="837" spans="1:9" x14ac:dyDescent="0.3">
      <c r="A837" s="4" t="s">
        <v>594</v>
      </c>
      <c r="B837" s="13"/>
      <c r="C837" s="13" t="s">
        <v>1224</v>
      </c>
      <c r="D837" s="101" t="s">
        <v>2004</v>
      </c>
      <c r="E837" s="102"/>
      <c r="F837" s="13" t="s">
        <v>2391</v>
      </c>
      <c r="G837" s="21">
        <v>1</v>
      </c>
      <c r="H837" s="72">
        <v>0</v>
      </c>
      <c r="I837" s="39"/>
    </row>
    <row r="838" spans="1:9" ht="12.25" customHeight="1" x14ac:dyDescent="0.3">
      <c r="A838" s="4"/>
      <c r="B838" s="13"/>
      <c r="C838" s="13"/>
      <c r="D838" s="67" t="s">
        <v>7</v>
      </c>
      <c r="E838" s="138"/>
      <c r="F838" s="138"/>
      <c r="G838" s="69">
        <v>1</v>
      </c>
      <c r="H838" s="35"/>
      <c r="I838" s="39"/>
    </row>
    <row r="839" spans="1:9" x14ac:dyDescent="0.3">
      <c r="A839" s="4" t="s">
        <v>595</v>
      </c>
      <c r="B839" s="13"/>
      <c r="C839" s="13" t="s">
        <v>1225</v>
      </c>
      <c r="D839" s="101" t="s">
        <v>2005</v>
      </c>
      <c r="E839" s="102"/>
      <c r="F839" s="13" t="s">
        <v>2391</v>
      </c>
      <c r="G839" s="21">
        <v>1</v>
      </c>
      <c r="H839" s="72">
        <v>0</v>
      </c>
      <c r="I839" s="39"/>
    </row>
    <row r="840" spans="1:9" ht="12.25" customHeight="1" x14ac:dyDescent="0.3">
      <c r="A840" s="4"/>
      <c r="B840" s="13"/>
      <c r="C840" s="13"/>
      <c r="D840" s="67" t="s">
        <v>7</v>
      </c>
      <c r="E840" s="138"/>
      <c r="F840" s="138"/>
      <c r="G840" s="69">
        <v>1</v>
      </c>
      <c r="H840" s="35"/>
      <c r="I840" s="39"/>
    </row>
    <row r="841" spans="1:9" x14ac:dyDescent="0.3">
      <c r="A841" s="4" t="s">
        <v>596</v>
      </c>
      <c r="B841" s="13"/>
      <c r="C841" s="13" t="s">
        <v>1226</v>
      </c>
      <c r="D841" s="101" t="s">
        <v>2006</v>
      </c>
      <c r="E841" s="102"/>
      <c r="F841" s="13" t="s">
        <v>2391</v>
      </c>
      <c r="G841" s="21">
        <v>1</v>
      </c>
      <c r="H841" s="72">
        <v>0</v>
      </c>
      <c r="I841" s="39"/>
    </row>
    <row r="842" spans="1:9" ht="12.25" customHeight="1" x14ac:dyDescent="0.3">
      <c r="A842" s="4"/>
      <c r="B842" s="13"/>
      <c r="C842" s="13"/>
      <c r="D842" s="67" t="s">
        <v>7</v>
      </c>
      <c r="E842" s="138"/>
      <c r="F842" s="138"/>
      <c r="G842" s="69">
        <v>1</v>
      </c>
      <c r="H842" s="35"/>
      <c r="I842" s="39"/>
    </row>
    <row r="843" spans="1:9" x14ac:dyDescent="0.3">
      <c r="A843" s="4" t="s">
        <v>597</v>
      </c>
      <c r="B843" s="13"/>
      <c r="C843" s="13" t="s">
        <v>1227</v>
      </c>
      <c r="D843" s="101" t="s">
        <v>2007</v>
      </c>
      <c r="E843" s="102"/>
      <c r="F843" s="13" t="s">
        <v>2391</v>
      </c>
      <c r="G843" s="21">
        <v>1</v>
      </c>
      <c r="H843" s="72">
        <v>0</v>
      </c>
      <c r="I843" s="39"/>
    </row>
    <row r="844" spans="1:9" ht="12.25" customHeight="1" x14ac:dyDescent="0.3">
      <c r="A844" s="4"/>
      <c r="B844" s="13"/>
      <c r="C844" s="13"/>
      <c r="D844" s="67" t="s">
        <v>7</v>
      </c>
      <c r="E844" s="138"/>
      <c r="F844" s="138"/>
      <c r="G844" s="69">
        <v>1</v>
      </c>
      <c r="H844" s="35"/>
      <c r="I844" s="39"/>
    </row>
    <row r="845" spans="1:9" x14ac:dyDescent="0.3">
      <c r="A845" s="4" t="s">
        <v>598</v>
      </c>
      <c r="B845" s="13"/>
      <c r="C845" s="13" t="s">
        <v>1228</v>
      </c>
      <c r="D845" s="101" t="s">
        <v>2008</v>
      </c>
      <c r="E845" s="102"/>
      <c r="F845" s="13" t="s">
        <v>2391</v>
      </c>
      <c r="G845" s="21">
        <v>1</v>
      </c>
      <c r="H845" s="72">
        <v>0</v>
      </c>
      <c r="I845" s="39"/>
    </row>
    <row r="846" spans="1:9" ht="12.25" customHeight="1" x14ac:dyDescent="0.3">
      <c r="A846" s="4"/>
      <c r="B846" s="13"/>
      <c r="C846" s="13"/>
      <c r="D846" s="67" t="s">
        <v>7</v>
      </c>
      <c r="E846" s="138"/>
      <c r="F846" s="138"/>
      <c r="G846" s="69">
        <v>1</v>
      </c>
      <c r="H846" s="35"/>
      <c r="I846" s="39"/>
    </row>
    <row r="847" spans="1:9" x14ac:dyDescent="0.3">
      <c r="A847" s="4" t="s">
        <v>599</v>
      </c>
      <c r="B847" s="13"/>
      <c r="C847" s="13" t="s">
        <v>1229</v>
      </c>
      <c r="D847" s="101" t="s">
        <v>2009</v>
      </c>
      <c r="E847" s="102"/>
      <c r="F847" s="13" t="s">
        <v>2391</v>
      </c>
      <c r="G847" s="21">
        <v>1</v>
      </c>
      <c r="H847" s="72">
        <v>0</v>
      </c>
      <c r="I847" s="39"/>
    </row>
    <row r="848" spans="1:9" ht="12.25" customHeight="1" x14ac:dyDescent="0.3">
      <c r="A848" s="4"/>
      <c r="B848" s="13"/>
      <c r="C848" s="13"/>
      <c r="D848" s="67" t="s">
        <v>7</v>
      </c>
      <c r="E848" s="138"/>
      <c r="F848" s="138"/>
      <c r="G848" s="69">
        <v>1</v>
      </c>
      <c r="H848" s="35"/>
      <c r="I848" s="39"/>
    </row>
    <row r="849" spans="1:9" x14ac:dyDescent="0.3">
      <c r="A849" s="4" t="s">
        <v>600</v>
      </c>
      <c r="B849" s="13"/>
      <c r="C849" s="13" t="s">
        <v>1230</v>
      </c>
      <c r="D849" s="101" t="s">
        <v>2010</v>
      </c>
      <c r="E849" s="102"/>
      <c r="F849" s="13" t="s">
        <v>2391</v>
      </c>
      <c r="G849" s="21">
        <v>1</v>
      </c>
      <c r="H849" s="72">
        <v>0</v>
      </c>
      <c r="I849" s="39"/>
    </row>
    <row r="850" spans="1:9" ht="12.25" customHeight="1" x14ac:dyDescent="0.3">
      <c r="A850" s="4"/>
      <c r="B850" s="13"/>
      <c r="C850" s="13"/>
      <c r="D850" s="67" t="s">
        <v>7</v>
      </c>
      <c r="E850" s="138"/>
      <c r="F850" s="138"/>
      <c r="G850" s="69">
        <v>1</v>
      </c>
      <c r="H850" s="35"/>
      <c r="I850" s="39"/>
    </row>
    <row r="851" spans="1:9" x14ac:dyDescent="0.3">
      <c r="A851" s="4" t="s">
        <v>601</v>
      </c>
      <c r="B851" s="13"/>
      <c r="C851" s="13" t="s">
        <v>1231</v>
      </c>
      <c r="D851" s="101" t="s">
        <v>2011</v>
      </c>
      <c r="E851" s="102"/>
      <c r="F851" s="13" t="s">
        <v>2391</v>
      </c>
      <c r="G851" s="21">
        <v>1</v>
      </c>
      <c r="H851" s="72">
        <v>0</v>
      </c>
      <c r="I851" s="39"/>
    </row>
    <row r="852" spans="1:9" ht="12.25" customHeight="1" x14ac:dyDescent="0.3">
      <c r="A852" s="4"/>
      <c r="B852" s="13"/>
      <c r="C852" s="13"/>
      <c r="D852" s="67" t="s">
        <v>7</v>
      </c>
      <c r="E852" s="138"/>
      <c r="F852" s="138"/>
      <c r="G852" s="69">
        <v>1</v>
      </c>
      <c r="H852" s="35"/>
      <c r="I852" s="39"/>
    </row>
    <row r="853" spans="1:9" x14ac:dyDescent="0.3">
      <c r="A853" s="4" t="s">
        <v>602</v>
      </c>
      <c r="B853" s="13"/>
      <c r="C853" s="13" t="s">
        <v>1232</v>
      </c>
      <c r="D853" s="101" t="s">
        <v>2012</v>
      </c>
      <c r="E853" s="102"/>
      <c r="F853" s="13" t="s">
        <v>2391</v>
      </c>
      <c r="G853" s="21">
        <v>1</v>
      </c>
      <c r="H853" s="72">
        <v>0</v>
      </c>
      <c r="I853" s="39"/>
    </row>
    <row r="854" spans="1:9" ht="12.25" customHeight="1" x14ac:dyDescent="0.3">
      <c r="A854" s="4"/>
      <c r="B854" s="13"/>
      <c r="C854" s="13"/>
      <c r="D854" s="67" t="s">
        <v>7</v>
      </c>
      <c r="E854" s="138"/>
      <c r="F854" s="138"/>
      <c r="G854" s="69">
        <v>1</v>
      </c>
      <c r="H854" s="35"/>
      <c r="I854" s="39"/>
    </row>
    <row r="855" spans="1:9" x14ac:dyDescent="0.3">
      <c r="A855" s="4" t="s">
        <v>603</v>
      </c>
      <c r="B855" s="13"/>
      <c r="C855" s="13" t="s">
        <v>1233</v>
      </c>
      <c r="D855" s="101" t="s">
        <v>2013</v>
      </c>
      <c r="E855" s="102"/>
      <c r="F855" s="13" t="s">
        <v>2391</v>
      </c>
      <c r="G855" s="21">
        <v>1</v>
      </c>
      <c r="H855" s="72">
        <v>0</v>
      </c>
      <c r="I855" s="39"/>
    </row>
    <row r="856" spans="1:9" ht="12.25" customHeight="1" x14ac:dyDescent="0.3">
      <c r="A856" s="4"/>
      <c r="B856" s="13"/>
      <c r="C856" s="13"/>
      <c r="D856" s="67" t="s">
        <v>7</v>
      </c>
      <c r="E856" s="138"/>
      <c r="F856" s="138"/>
      <c r="G856" s="69">
        <v>1</v>
      </c>
      <c r="H856" s="35"/>
      <c r="I856" s="39"/>
    </row>
    <row r="857" spans="1:9" x14ac:dyDescent="0.3">
      <c r="A857" s="4" t="s">
        <v>604</v>
      </c>
      <c r="B857" s="13"/>
      <c r="C857" s="13" t="s">
        <v>1234</v>
      </c>
      <c r="D857" s="101" t="s">
        <v>2014</v>
      </c>
      <c r="E857" s="102"/>
      <c r="F857" s="13" t="s">
        <v>2391</v>
      </c>
      <c r="G857" s="21">
        <v>1</v>
      </c>
      <c r="H857" s="72">
        <v>0</v>
      </c>
      <c r="I857" s="39"/>
    </row>
    <row r="858" spans="1:9" ht="12.25" customHeight="1" x14ac:dyDescent="0.3">
      <c r="A858" s="4"/>
      <c r="B858" s="13"/>
      <c r="C858" s="13"/>
      <c r="D858" s="67" t="s">
        <v>7</v>
      </c>
      <c r="E858" s="138"/>
      <c r="F858" s="138"/>
      <c r="G858" s="69">
        <v>1</v>
      </c>
      <c r="H858" s="35"/>
      <c r="I858" s="39"/>
    </row>
    <row r="859" spans="1:9" x14ac:dyDescent="0.3">
      <c r="A859" s="4" t="s">
        <v>605</v>
      </c>
      <c r="B859" s="13"/>
      <c r="C859" s="13" t="s">
        <v>1235</v>
      </c>
      <c r="D859" s="101" t="s">
        <v>2015</v>
      </c>
      <c r="E859" s="102"/>
      <c r="F859" s="13" t="s">
        <v>2391</v>
      </c>
      <c r="G859" s="21">
        <v>23</v>
      </c>
      <c r="H859" s="72">
        <v>0</v>
      </c>
      <c r="I859" s="39"/>
    </row>
    <row r="860" spans="1:9" ht="12.25" customHeight="1" x14ac:dyDescent="0.3">
      <c r="A860" s="4"/>
      <c r="B860" s="13"/>
      <c r="C860" s="13"/>
      <c r="D860" s="67" t="s">
        <v>29</v>
      </c>
      <c r="E860" s="138"/>
      <c r="F860" s="138"/>
      <c r="G860" s="69">
        <v>23</v>
      </c>
      <c r="H860" s="35"/>
      <c r="I860" s="39"/>
    </row>
    <row r="861" spans="1:9" x14ac:dyDescent="0.3">
      <c r="A861" s="4" t="s">
        <v>606</v>
      </c>
      <c r="B861" s="13"/>
      <c r="C861" s="13" t="s">
        <v>1236</v>
      </c>
      <c r="D861" s="101" t="s">
        <v>2016</v>
      </c>
      <c r="E861" s="102"/>
      <c r="F861" s="13" t="s">
        <v>2391</v>
      </c>
      <c r="G861" s="21">
        <v>2</v>
      </c>
      <c r="H861" s="72">
        <v>0</v>
      </c>
      <c r="I861" s="39"/>
    </row>
    <row r="862" spans="1:9" ht="12.25" customHeight="1" x14ac:dyDescent="0.3">
      <c r="A862" s="4"/>
      <c r="B862" s="13"/>
      <c r="C862" s="13"/>
      <c r="D862" s="67" t="s">
        <v>8</v>
      </c>
      <c r="E862" s="138"/>
      <c r="F862" s="138"/>
      <c r="G862" s="69">
        <v>2</v>
      </c>
      <c r="H862" s="35"/>
      <c r="I862" s="39"/>
    </row>
    <row r="863" spans="1:9" x14ac:dyDescent="0.3">
      <c r="A863" s="4" t="s">
        <v>607</v>
      </c>
      <c r="B863" s="13"/>
      <c r="C863" s="13" t="s">
        <v>1237</v>
      </c>
      <c r="D863" s="101" t="s">
        <v>2017</v>
      </c>
      <c r="E863" s="102"/>
      <c r="F863" s="13" t="s">
        <v>2391</v>
      </c>
      <c r="G863" s="21">
        <v>1</v>
      </c>
      <c r="H863" s="72">
        <v>0</v>
      </c>
      <c r="I863" s="39"/>
    </row>
    <row r="864" spans="1:9" ht="12.25" customHeight="1" x14ac:dyDescent="0.3">
      <c r="A864" s="4"/>
      <c r="B864" s="13"/>
      <c r="C864" s="13"/>
      <c r="D864" s="67" t="s">
        <v>7</v>
      </c>
      <c r="E864" s="138"/>
      <c r="F864" s="138"/>
      <c r="G864" s="69">
        <v>1</v>
      </c>
      <c r="H864" s="35"/>
      <c r="I864" s="39"/>
    </row>
    <row r="865" spans="1:9" x14ac:dyDescent="0.3">
      <c r="A865" s="4" t="s">
        <v>608</v>
      </c>
      <c r="B865" s="13"/>
      <c r="C865" s="13" t="s">
        <v>1238</v>
      </c>
      <c r="D865" s="101" t="s">
        <v>2018</v>
      </c>
      <c r="E865" s="102"/>
      <c r="F865" s="13" t="s">
        <v>2391</v>
      </c>
      <c r="G865" s="21">
        <v>1</v>
      </c>
      <c r="H865" s="72">
        <v>0</v>
      </c>
      <c r="I865" s="39"/>
    </row>
    <row r="866" spans="1:9" ht="12.25" customHeight="1" x14ac:dyDescent="0.3">
      <c r="A866" s="4"/>
      <c r="B866" s="13"/>
      <c r="C866" s="13"/>
      <c r="D866" s="67" t="s">
        <v>7</v>
      </c>
      <c r="E866" s="138"/>
      <c r="F866" s="138"/>
      <c r="G866" s="69">
        <v>1</v>
      </c>
      <c r="H866" s="35"/>
      <c r="I866" s="39"/>
    </row>
    <row r="867" spans="1:9" x14ac:dyDescent="0.3">
      <c r="A867" s="4" t="s">
        <v>609</v>
      </c>
      <c r="B867" s="13"/>
      <c r="C867" s="13" t="s">
        <v>1239</v>
      </c>
      <c r="D867" s="101" t="s">
        <v>2019</v>
      </c>
      <c r="E867" s="102"/>
      <c r="F867" s="13" t="s">
        <v>2391</v>
      </c>
      <c r="G867" s="21">
        <v>1</v>
      </c>
      <c r="H867" s="72">
        <v>0</v>
      </c>
      <c r="I867" s="39"/>
    </row>
    <row r="868" spans="1:9" ht="12.25" customHeight="1" x14ac:dyDescent="0.3">
      <c r="A868" s="4"/>
      <c r="B868" s="13"/>
      <c r="C868" s="13"/>
      <c r="D868" s="67" t="s">
        <v>7</v>
      </c>
      <c r="E868" s="138"/>
      <c r="F868" s="138"/>
      <c r="G868" s="69">
        <v>1</v>
      </c>
      <c r="H868" s="35"/>
      <c r="I868" s="39"/>
    </row>
    <row r="869" spans="1:9" x14ac:dyDescent="0.3">
      <c r="A869" s="4" t="s">
        <v>610</v>
      </c>
      <c r="B869" s="13"/>
      <c r="C869" s="13" t="s">
        <v>1240</v>
      </c>
      <c r="D869" s="101" t="s">
        <v>2020</v>
      </c>
      <c r="E869" s="102"/>
      <c r="F869" s="13" t="s">
        <v>2391</v>
      </c>
      <c r="G869" s="21">
        <v>1</v>
      </c>
      <c r="H869" s="72">
        <v>0</v>
      </c>
      <c r="I869" s="39"/>
    </row>
    <row r="870" spans="1:9" ht="12.25" customHeight="1" x14ac:dyDescent="0.3">
      <c r="A870" s="4"/>
      <c r="B870" s="13"/>
      <c r="C870" s="13"/>
      <c r="D870" s="67" t="s">
        <v>7</v>
      </c>
      <c r="E870" s="138"/>
      <c r="F870" s="138"/>
      <c r="G870" s="69">
        <v>1</v>
      </c>
      <c r="H870" s="35"/>
      <c r="I870" s="39"/>
    </row>
    <row r="871" spans="1:9" x14ac:dyDescent="0.3">
      <c r="A871" s="4" t="s">
        <v>611</v>
      </c>
      <c r="B871" s="13"/>
      <c r="C871" s="13" t="s">
        <v>1241</v>
      </c>
      <c r="D871" s="101" t="s">
        <v>2021</v>
      </c>
      <c r="E871" s="102"/>
      <c r="F871" s="13" t="s">
        <v>2391</v>
      </c>
      <c r="G871" s="21">
        <v>1</v>
      </c>
      <c r="H871" s="72">
        <v>0</v>
      </c>
      <c r="I871" s="39"/>
    </row>
    <row r="872" spans="1:9" ht="12.25" customHeight="1" x14ac:dyDescent="0.3">
      <c r="A872" s="4"/>
      <c r="B872" s="13"/>
      <c r="C872" s="13"/>
      <c r="D872" s="67" t="s">
        <v>7</v>
      </c>
      <c r="E872" s="138"/>
      <c r="F872" s="138"/>
      <c r="G872" s="69">
        <v>1</v>
      </c>
      <c r="H872" s="35"/>
      <c r="I872" s="39"/>
    </row>
    <row r="873" spans="1:9" x14ac:dyDescent="0.3">
      <c r="A873" s="4" t="s">
        <v>612</v>
      </c>
      <c r="B873" s="13"/>
      <c r="C873" s="13" t="s">
        <v>1242</v>
      </c>
      <c r="D873" s="101" t="s">
        <v>2022</v>
      </c>
      <c r="E873" s="102"/>
      <c r="F873" s="13" t="s">
        <v>2391</v>
      </c>
      <c r="G873" s="21">
        <v>1</v>
      </c>
      <c r="H873" s="72">
        <v>0</v>
      </c>
      <c r="I873" s="39"/>
    </row>
    <row r="874" spans="1:9" ht="12.25" customHeight="1" x14ac:dyDescent="0.3">
      <c r="A874" s="4"/>
      <c r="B874" s="13"/>
      <c r="C874" s="13"/>
      <c r="D874" s="67" t="s">
        <v>7</v>
      </c>
      <c r="E874" s="138"/>
      <c r="F874" s="138"/>
      <c r="G874" s="69">
        <v>1</v>
      </c>
      <c r="H874" s="35"/>
      <c r="I874" s="39"/>
    </row>
    <row r="875" spans="1:9" x14ac:dyDescent="0.3">
      <c r="A875" s="4" t="s">
        <v>613</v>
      </c>
      <c r="B875" s="13"/>
      <c r="C875" s="13" t="s">
        <v>1243</v>
      </c>
      <c r="D875" s="101" t="s">
        <v>2023</v>
      </c>
      <c r="E875" s="102"/>
      <c r="F875" s="13" t="s">
        <v>2391</v>
      </c>
      <c r="G875" s="21">
        <v>4</v>
      </c>
      <c r="H875" s="72">
        <v>0</v>
      </c>
      <c r="I875" s="39"/>
    </row>
    <row r="876" spans="1:9" ht="12.25" customHeight="1" x14ac:dyDescent="0.3">
      <c r="A876" s="4"/>
      <c r="B876" s="13"/>
      <c r="C876" s="13"/>
      <c r="D876" s="67" t="s">
        <v>10</v>
      </c>
      <c r="E876" s="138"/>
      <c r="F876" s="138"/>
      <c r="G876" s="69">
        <v>4</v>
      </c>
      <c r="H876" s="35"/>
      <c r="I876" s="39"/>
    </row>
    <row r="877" spans="1:9" x14ac:dyDescent="0.3">
      <c r="A877" s="4" t="s">
        <v>614</v>
      </c>
      <c r="B877" s="13"/>
      <c r="C877" s="13" t="s">
        <v>1244</v>
      </c>
      <c r="D877" s="101" t="s">
        <v>2024</v>
      </c>
      <c r="E877" s="102"/>
      <c r="F877" s="13" t="s">
        <v>2391</v>
      </c>
      <c r="G877" s="21">
        <v>1</v>
      </c>
      <c r="H877" s="72">
        <v>0</v>
      </c>
      <c r="I877" s="39"/>
    </row>
    <row r="878" spans="1:9" ht="12.25" customHeight="1" x14ac:dyDescent="0.3">
      <c r="A878" s="4"/>
      <c r="B878" s="13"/>
      <c r="C878" s="13"/>
      <c r="D878" s="67" t="s">
        <v>7</v>
      </c>
      <c r="E878" s="138"/>
      <c r="F878" s="138"/>
      <c r="G878" s="69">
        <v>1</v>
      </c>
      <c r="H878" s="35"/>
      <c r="I878" s="39"/>
    </row>
    <row r="879" spans="1:9" x14ac:dyDescent="0.3">
      <c r="A879" s="4" t="s">
        <v>615</v>
      </c>
      <c r="B879" s="13"/>
      <c r="C879" s="13" t="s">
        <v>1245</v>
      </c>
      <c r="D879" s="101" t="s">
        <v>2025</v>
      </c>
      <c r="E879" s="102"/>
      <c r="F879" s="13" t="s">
        <v>2391</v>
      </c>
      <c r="G879" s="21">
        <v>1</v>
      </c>
      <c r="H879" s="72">
        <v>0</v>
      </c>
      <c r="I879" s="39"/>
    </row>
    <row r="880" spans="1:9" ht="12.25" customHeight="1" x14ac:dyDescent="0.3">
      <c r="A880" s="4"/>
      <c r="B880" s="13"/>
      <c r="C880" s="13"/>
      <c r="D880" s="67" t="s">
        <v>7</v>
      </c>
      <c r="E880" s="138"/>
      <c r="F880" s="138"/>
      <c r="G880" s="69">
        <v>1</v>
      </c>
      <c r="H880" s="35"/>
      <c r="I880" s="39"/>
    </row>
    <row r="881" spans="1:9" x14ac:dyDescent="0.3">
      <c r="A881" s="4" t="s">
        <v>616</v>
      </c>
      <c r="B881" s="13"/>
      <c r="C881" s="13" t="s">
        <v>1246</v>
      </c>
      <c r="D881" s="101" t="s">
        <v>2026</v>
      </c>
      <c r="E881" s="102"/>
      <c r="F881" s="13" t="s">
        <v>2391</v>
      </c>
      <c r="G881" s="21">
        <v>1</v>
      </c>
      <c r="H881" s="72">
        <v>0</v>
      </c>
      <c r="I881" s="39"/>
    </row>
    <row r="882" spans="1:9" ht="12.25" customHeight="1" x14ac:dyDescent="0.3">
      <c r="A882" s="4"/>
      <c r="B882" s="13"/>
      <c r="C882" s="13"/>
      <c r="D882" s="67" t="s">
        <v>7</v>
      </c>
      <c r="E882" s="138"/>
      <c r="F882" s="138"/>
      <c r="G882" s="69">
        <v>1</v>
      </c>
      <c r="H882" s="35"/>
      <c r="I882" s="39"/>
    </row>
    <row r="883" spans="1:9" x14ac:dyDescent="0.3">
      <c r="A883" s="4" t="s">
        <v>617</v>
      </c>
      <c r="B883" s="13"/>
      <c r="C883" s="13" t="s">
        <v>1247</v>
      </c>
      <c r="D883" s="101" t="s">
        <v>2027</v>
      </c>
      <c r="E883" s="102"/>
      <c r="F883" s="13" t="s">
        <v>2391</v>
      </c>
      <c r="G883" s="21">
        <v>2</v>
      </c>
      <c r="H883" s="72">
        <v>0</v>
      </c>
      <c r="I883" s="39"/>
    </row>
    <row r="884" spans="1:9" ht="12.25" customHeight="1" x14ac:dyDescent="0.3">
      <c r="A884" s="4"/>
      <c r="B884" s="13"/>
      <c r="C884" s="13"/>
      <c r="D884" s="67" t="s">
        <v>8</v>
      </c>
      <c r="E884" s="138"/>
      <c r="F884" s="138"/>
      <c r="G884" s="69">
        <v>2</v>
      </c>
      <c r="H884" s="35"/>
      <c r="I884" s="39"/>
    </row>
    <row r="885" spans="1:9" x14ac:dyDescent="0.3">
      <c r="A885" s="4" t="s">
        <v>618</v>
      </c>
      <c r="B885" s="13"/>
      <c r="C885" s="13" t="s">
        <v>1248</v>
      </c>
      <c r="D885" s="101" t="s">
        <v>2028</v>
      </c>
      <c r="E885" s="102"/>
      <c r="F885" s="13" t="s">
        <v>2391</v>
      </c>
      <c r="G885" s="21">
        <v>1</v>
      </c>
      <c r="H885" s="72">
        <v>0</v>
      </c>
      <c r="I885" s="39"/>
    </row>
    <row r="886" spans="1:9" ht="12.25" customHeight="1" x14ac:dyDescent="0.3">
      <c r="A886" s="4"/>
      <c r="B886" s="13"/>
      <c r="C886" s="13"/>
      <c r="D886" s="67" t="s">
        <v>7</v>
      </c>
      <c r="E886" s="138"/>
      <c r="F886" s="138"/>
      <c r="G886" s="69">
        <v>1</v>
      </c>
      <c r="H886" s="35"/>
      <c r="I886" s="39"/>
    </row>
    <row r="887" spans="1:9" x14ac:dyDescent="0.3">
      <c r="A887" s="4" t="s">
        <v>619</v>
      </c>
      <c r="B887" s="13"/>
      <c r="C887" s="13" t="s">
        <v>1249</v>
      </c>
      <c r="D887" s="101" t="s">
        <v>2029</v>
      </c>
      <c r="E887" s="102"/>
      <c r="F887" s="13" t="s">
        <v>2391</v>
      </c>
      <c r="G887" s="21">
        <v>1</v>
      </c>
      <c r="H887" s="72">
        <v>0</v>
      </c>
      <c r="I887" s="39"/>
    </row>
    <row r="888" spans="1:9" ht="12.25" customHeight="1" x14ac:dyDescent="0.3">
      <c r="A888" s="4"/>
      <c r="B888" s="13"/>
      <c r="C888" s="13"/>
      <c r="D888" s="67" t="s">
        <v>7</v>
      </c>
      <c r="E888" s="138"/>
      <c r="F888" s="138"/>
      <c r="G888" s="69">
        <v>1</v>
      </c>
      <c r="H888" s="35"/>
      <c r="I888" s="39"/>
    </row>
    <row r="889" spans="1:9" x14ac:dyDescent="0.3">
      <c r="A889" s="4" t="s">
        <v>620</v>
      </c>
      <c r="B889" s="13"/>
      <c r="C889" s="13" t="s">
        <v>1250</v>
      </c>
      <c r="D889" s="101" t="s">
        <v>2030</v>
      </c>
      <c r="E889" s="102"/>
      <c r="F889" s="13" t="s">
        <v>2391</v>
      </c>
      <c r="G889" s="21">
        <v>1</v>
      </c>
      <c r="H889" s="72">
        <v>0</v>
      </c>
      <c r="I889" s="39"/>
    </row>
    <row r="890" spans="1:9" ht="12.25" customHeight="1" x14ac:dyDescent="0.3">
      <c r="A890" s="4"/>
      <c r="B890" s="13"/>
      <c r="C890" s="13"/>
      <c r="D890" s="67" t="s">
        <v>7</v>
      </c>
      <c r="E890" s="138"/>
      <c r="F890" s="138"/>
      <c r="G890" s="69">
        <v>1</v>
      </c>
      <c r="H890" s="35"/>
      <c r="I890" s="39"/>
    </row>
    <row r="891" spans="1:9" x14ac:dyDescent="0.3">
      <c r="A891" s="4" t="s">
        <v>621</v>
      </c>
      <c r="B891" s="13"/>
      <c r="C891" s="13" t="s">
        <v>1251</v>
      </c>
      <c r="D891" s="101" t="s">
        <v>2031</v>
      </c>
      <c r="E891" s="102"/>
      <c r="F891" s="13" t="s">
        <v>2391</v>
      </c>
      <c r="G891" s="21">
        <v>1</v>
      </c>
      <c r="H891" s="72">
        <v>0</v>
      </c>
      <c r="I891" s="39"/>
    </row>
    <row r="892" spans="1:9" ht="12.25" customHeight="1" x14ac:dyDescent="0.3">
      <c r="A892" s="4"/>
      <c r="B892" s="13"/>
      <c r="C892" s="13"/>
      <c r="D892" s="67" t="s">
        <v>7</v>
      </c>
      <c r="E892" s="138"/>
      <c r="F892" s="138"/>
      <c r="G892" s="69">
        <v>1</v>
      </c>
      <c r="H892" s="35"/>
      <c r="I892" s="39"/>
    </row>
    <row r="893" spans="1:9" x14ac:dyDescent="0.3">
      <c r="A893" s="4" t="s">
        <v>622</v>
      </c>
      <c r="B893" s="13"/>
      <c r="C893" s="13" t="s">
        <v>1171</v>
      </c>
      <c r="D893" s="101" t="s">
        <v>2032</v>
      </c>
      <c r="E893" s="102"/>
      <c r="F893" s="13" t="s">
        <v>2391</v>
      </c>
      <c r="G893" s="21">
        <v>3</v>
      </c>
      <c r="H893" s="72">
        <v>0</v>
      </c>
      <c r="I893" s="39"/>
    </row>
    <row r="894" spans="1:9" ht="12.25" customHeight="1" x14ac:dyDescent="0.3">
      <c r="A894" s="4"/>
      <c r="B894" s="13"/>
      <c r="C894" s="13"/>
      <c r="D894" s="67" t="s">
        <v>9</v>
      </c>
      <c r="E894" s="138"/>
      <c r="F894" s="138"/>
      <c r="G894" s="69">
        <v>3</v>
      </c>
      <c r="H894" s="35"/>
      <c r="I894" s="39"/>
    </row>
    <row r="895" spans="1:9" x14ac:dyDescent="0.3">
      <c r="A895" s="4" t="s">
        <v>623</v>
      </c>
      <c r="B895" s="13"/>
      <c r="C895" s="13" t="s">
        <v>1172</v>
      </c>
      <c r="D895" s="101" t="s">
        <v>2033</v>
      </c>
      <c r="E895" s="102"/>
      <c r="F895" s="13" t="s">
        <v>2391</v>
      </c>
      <c r="G895" s="21">
        <v>1</v>
      </c>
      <c r="H895" s="72">
        <v>0</v>
      </c>
      <c r="I895" s="39"/>
    </row>
    <row r="896" spans="1:9" ht="12.25" customHeight="1" x14ac:dyDescent="0.3">
      <c r="A896" s="4"/>
      <c r="B896" s="13"/>
      <c r="C896" s="13"/>
      <c r="D896" s="67" t="s">
        <v>7</v>
      </c>
      <c r="E896" s="138"/>
      <c r="F896" s="138"/>
      <c r="G896" s="69">
        <v>1</v>
      </c>
      <c r="H896" s="35"/>
      <c r="I896" s="39"/>
    </row>
    <row r="897" spans="1:9" x14ac:dyDescent="0.3">
      <c r="A897" s="4" t="s">
        <v>624</v>
      </c>
      <c r="B897" s="13"/>
      <c r="C897" s="13" t="s">
        <v>1173</v>
      </c>
      <c r="D897" s="101" t="s">
        <v>2034</v>
      </c>
      <c r="E897" s="102"/>
      <c r="F897" s="13" t="s">
        <v>2391</v>
      </c>
      <c r="G897" s="21">
        <v>5</v>
      </c>
      <c r="H897" s="72">
        <v>0</v>
      </c>
      <c r="I897" s="39"/>
    </row>
    <row r="898" spans="1:9" ht="12.25" customHeight="1" x14ac:dyDescent="0.3">
      <c r="A898" s="4"/>
      <c r="B898" s="13"/>
      <c r="C898" s="13"/>
      <c r="D898" s="67" t="s">
        <v>11</v>
      </c>
      <c r="E898" s="138"/>
      <c r="F898" s="138"/>
      <c r="G898" s="69">
        <v>5</v>
      </c>
      <c r="H898" s="35"/>
      <c r="I898" s="39"/>
    </row>
    <row r="899" spans="1:9" x14ac:dyDescent="0.3">
      <c r="A899" s="66"/>
      <c r="B899" s="14"/>
      <c r="C899" s="14" t="s">
        <v>769</v>
      </c>
      <c r="D899" s="103" t="s">
        <v>2035</v>
      </c>
      <c r="E899" s="104"/>
      <c r="F899" s="14"/>
      <c r="G899" s="31"/>
      <c r="H899" s="36"/>
      <c r="I899" s="39"/>
    </row>
    <row r="900" spans="1:9" x14ac:dyDescent="0.3">
      <c r="A900" s="4" t="s">
        <v>625</v>
      </c>
      <c r="B900" s="13"/>
      <c r="C900" s="13" t="s">
        <v>1252</v>
      </c>
      <c r="D900" s="101" t="s">
        <v>2036</v>
      </c>
      <c r="E900" s="102"/>
      <c r="F900" s="13" t="s">
        <v>2387</v>
      </c>
      <c r="G900" s="21">
        <v>1459.57</v>
      </c>
      <c r="H900" s="72">
        <v>0</v>
      </c>
      <c r="I900" s="39"/>
    </row>
    <row r="901" spans="1:9" ht="12.25" customHeight="1" x14ac:dyDescent="0.3">
      <c r="A901" s="4"/>
      <c r="B901" s="13"/>
      <c r="C901" s="13"/>
      <c r="D901" s="67" t="s">
        <v>2600</v>
      </c>
      <c r="E901" s="138"/>
      <c r="F901" s="138"/>
      <c r="G901" s="69">
        <v>343.38</v>
      </c>
      <c r="H901" s="35"/>
      <c r="I901" s="39"/>
    </row>
    <row r="902" spans="1:9" ht="12.25" customHeight="1" x14ac:dyDescent="0.3">
      <c r="A902" s="4"/>
      <c r="B902" s="13"/>
      <c r="C902" s="13"/>
      <c r="D902" s="67" t="s">
        <v>2601</v>
      </c>
      <c r="E902" s="138"/>
      <c r="F902" s="138"/>
      <c r="G902" s="69">
        <v>432.24</v>
      </c>
      <c r="H902" s="35"/>
      <c r="I902" s="39"/>
    </row>
    <row r="903" spans="1:9" ht="12.25" customHeight="1" x14ac:dyDescent="0.3">
      <c r="A903" s="4"/>
      <c r="B903" s="13"/>
      <c r="C903" s="13"/>
      <c r="D903" s="67" t="s">
        <v>2602</v>
      </c>
      <c r="E903" s="138"/>
      <c r="F903" s="138"/>
      <c r="G903" s="69">
        <v>455.31</v>
      </c>
      <c r="H903" s="35"/>
      <c r="I903" s="39"/>
    </row>
    <row r="904" spans="1:9" ht="12.25" customHeight="1" x14ac:dyDescent="0.3">
      <c r="A904" s="4"/>
      <c r="B904" s="13"/>
      <c r="C904" s="13"/>
      <c r="D904" s="67" t="s">
        <v>2603</v>
      </c>
      <c r="E904" s="138"/>
      <c r="F904" s="138"/>
      <c r="G904" s="69">
        <v>228.64</v>
      </c>
      <c r="H904" s="35"/>
      <c r="I904" s="39"/>
    </row>
    <row r="905" spans="1:9" x14ac:dyDescent="0.3">
      <c r="A905" s="4" t="s">
        <v>626</v>
      </c>
      <c r="B905" s="13"/>
      <c r="C905" s="13" t="s">
        <v>1253</v>
      </c>
      <c r="D905" s="101" t="s">
        <v>2037</v>
      </c>
      <c r="E905" s="102"/>
      <c r="F905" s="13" t="s">
        <v>2391</v>
      </c>
      <c r="G905" s="21">
        <v>1</v>
      </c>
      <c r="H905" s="72">
        <v>0</v>
      </c>
      <c r="I905" s="39"/>
    </row>
    <row r="906" spans="1:9" ht="12.25" customHeight="1" x14ac:dyDescent="0.3">
      <c r="A906" s="4"/>
      <c r="B906" s="13"/>
      <c r="C906" s="13"/>
      <c r="D906" s="67" t="s">
        <v>7</v>
      </c>
      <c r="E906" s="138"/>
      <c r="F906" s="138"/>
      <c r="G906" s="69">
        <v>1</v>
      </c>
      <c r="H906" s="35"/>
      <c r="I906" s="39"/>
    </row>
    <row r="907" spans="1:9" x14ac:dyDescent="0.3">
      <c r="A907" s="4" t="s">
        <v>627</v>
      </c>
      <c r="B907" s="13"/>
      <c r="C907" s="13" t="s">
        <v>1254</v>
      </c>
      <c r="D907" s="101" t="s">
        <v>2038</v>
      </c>
      <c r="E907" s="102"/>
      <c r="F907" s="13" t="s">
        <v>2391</v>
      </c>
      <c r="G907" s="21">
        <v>2</v>
      </c>
      <c r="H907" s="72">
        <v>0</v>
      </c>
      <c r="I907" s="39"/>
    </row>
    <row r="908" spans="1:9" ht="12.25" customHeight="1" x14ac:dyDescent="0.3">
      <c r="A908" s="4"/>
      <c r="B908" s="13"/>
      <c r="C908" s="13"/>
      <c r="D908" s="67" t="s">
        <v>2604</v>
      </c>
      <c r="E908" s="138"/>
      <c r="F908" s="138"/>
      <c r="G908" s="69">
        <v>2</v>
      </c>
      <c r="H908" s="35"/>
      <c r="I908" s="39"/>
    </row>
    <row r="909" spans="1:9" x14ac:dyDescent="0.3">
      <c r="A909" s="4" t="s">
        <v>628</v>
      </c>
      <c r="B909" s="13"/>
      <c r="C909" s="13" t="s">
        <v>1255</v>
      </c>
      <c r="D909" s="101" t="s">
        <v>2039</v>
      </c>
      <c r="E909" s="102"/>
      <c r="F909" s="13" t="s">
        <v>2391</v>
      </c>
      <c r="G909" s="21">
        <v>18</v>
      </c>
      <c r="H909" s="72">
        <v>0</v>
      </c>
      <c r="I909" s="39"/>
    </row>
    <row r="910" spans="1:9" ht="12.25" customHeight="1" x14ac:dyDescent="0.3">
      <c r="A910" s="4"/>
      <c r="B910" s="13"/>
      <c r="C910" s="13"/>
      <c r="D910" s="67" t="s">
        <v>24</v>
      </c>
      <c r="E910" s="138"/>
      <c r="F910" s="138"/>
      <c r="G910" s="69">
        <v>18</v>
      </c>
      <c r="H910" s="35"/>
      <c r="I910" s="39"/>
    </row>
    <row r="911" spans="1:9" x14ac:dyDescent="0.3">
      <c r="A911" s="6" t="s">
        <v>629</v>
      </c>
      <c r="B911" s="15"/>
      <c r="C911" s="15" t="s">
        <v>1256</v>
      </c>
      <c r="D911" s="107" t="s">
        <v>2040</v>
      </c>
      <c r="E911" s="108"/>
      <c r="F911" s="15" t="s">
        <v>2391</v>
      </c>
      <c r="G911" s="22">
        <v>8</v>
      </c>
      <c r="H911" s="73">
        <v>0</v>
      </c>
      <c r="I911" s="39"/>
    </row>
    <row r="912" spans="1:9" ht="12.25" customHeight="1" x14ac:dyDescent="0.3">
      <c r="A912" s="6"/>
      <c r="B912" s="15"/>
      <c r="C912" s="15"/>
      <c r="D912" s="67" t="s">
        <v>14</v>
      </c>
      <c r="E912" s="138"/>
      <c r="F912" s="138"/>
      <c r="G912" s="70">
        <v>8</v>
      </c>
      <c r="H912" s="37"/>
      <c r="I912" s="39"/>
    </row>
    <row r="913" spans="1:9" x14ac:dyDescent="0.3">
      <c r="A913" s="6" t="s">
        <v>630</v>
      </c>
      <c r="B913" s="15"/>
      <c r="C913" s="15" t="s">
        <v>1257</v>
      </c>
      <c r="D913" s="107" t="s">
        <v>2041</v>
      </c>
      <c r="E913" s="108"/>
      <c r="F913" s="15" t="s">
        <v>2391</v>
      </c>
      <c r="G913" s="22">
        <v>13</v>
      </c>
      <c r="H913" s="73">
        <v>0</v>
      </c>
      <c r="I913" s="39"/>
    </row>
    <row r="914" spans="1:9" ht="12.25" customHeight="1" x14ac:dyDescent="0.3">
      <c r="A914" s="6"/>
      <c r="B914" s="15"/>
      <c r="C914" s="15"/>
      <c r="D914" s="67" t="s">
        <v>19</v>
      </c>
      <c r="E914" s="138"/>
      <c r="F914" s="138"/>
      <c r="G914" s="70">
        <v>13</v>
      </c>
      <c r="H914" s="37"/>
      <c r="I914" s="39"/>
    </row>
    <row r="915" spans="1:9" x14ac:dyDescent="0.3">
      <c r="A915" s="6" t="s">
        <v>631</v>
      </c>
      <c r="B915" s="15"/>
      <c r="C915" s="15" t="s">
        <v>1258</v>
      </c>
      <c r="D915" s="107" t="s">
        <v>2042</v>
      </c>
      <c r="E915" s="108"/>
      <c r="F915" s="15" t="s">
        <v>2391</v>
      </c>
      <c r="G915" s="22">
        <v>19</v>
      </c>
      <c r="H915" s="73">
        <v>0</v>
      </c>
      <c r="I915" s="39"/>
    </row>
    <row r="916" spans="1:9" ht="12.25" customHeight="1" x14ac:dyDescent="0.3">
      <c r="A916" s="6"/>
      <c r="B916" s="15"/>
      <c r="C916" s="15"/>
      <c r="D916" s="67" t="s">
        <v>25</v>
      </c>
      <c r="E916" s="138"/>
      <c r="F916" s="138"/>
      <c r="G916" s="70">
        <v>19</v>
      </c>
      <c r="H916" s="37"/>
      <c r="I916" s="39"/>
    </row>
    <row r="917" spans="1:9" x14ac:dyDescent="0.3">
      <c r="A917" s="4" t="s">
        <v>632</v>
      </c>
      <c r="B917" s="13"/>
      <c r="C917" s="13" t="s">
        <v>1259</v>
      </c>
      <c r="D917" s="101" t="s">
        <v>2043</v>
      </c>
      <c r="E917" s="102"/>
      <c r="F917" s="13" t="s">
        <v>2391</v>
      </c>
      <c r="G917" s="21">
        <v>97</v>
      </c>
      <c r="H917" s="72">
        <v>0</v>
      </c>
      <c r="I917" s="39"/>
    </row>
    <row r="918" spans="1:9" ht="12.25" customHeight="1" x14ac:dyDescent="0.3">
      <c r="A918" s="4"/>
      <c r="B918" s="13"/>
      <c r="C918" s="13"/>
      <c r="D918" s="67" t="s">
        <v>2605</v>
      </c>
      <c r="E918" s="138"/>
      <c r="F918" s="138"/>
      <c r="G918" s="69">
        <v>97</v>
      </c>
      <c r="H918" s="35"/>
      <c r="I918" s="39"/>
    </row>
    <row r="919" spans="1:9" x14ac:dyDescent="0.3">
      <c r="A919" s="6" t="s">
        <v>633</v>
      </c>
      <c r="B919" s="15"/>
      <c r="C919" s="15" t="s">
        <v>1260</v>
      </c>
      <c r="D919" s="107" t="s">
        <v>2044</v>
      </c>
      <c r="E919" s="108"/>
      <c r="F919" s="15" t="s">
        <v>2391</v>
      </c>
      <c r="G919" s="22">
        <v>1</v>
      </c>
      <c r="H919" s="73">
        <v>0</v>
      </c>
      <c r="I919" s="39"/>
    </row>
    <row r="920" spans="1:9" ht="12.25" customHeight="1" x14ac:dyDescent="0.3">
      <c r="A920" s="6"/>
      <c r="B920" s="15"/>
      <c r="C920" s="15"/>
      <c r="D920" s="67" t="s">
        <v>7</v>
      </c>
      <c r="E920" s="138"/>
      <c r="F920" s="138"/>
      <c r="G920" s="70">
        <v>1</v>
      </c>
      <c r="H920" s="37"/>
      <c r="I920" s="39"/>
    </row>
    <row r="921" spans="1:9" x14ac:dyDescent="0.3">
      <c r="A921" s="6" t="s">
        <v>634</v>
      </c>
      <c r="B921" s="15"/>
      <c r="C921" s="15" t="s">
        <v>1261</v>
      </c>
      <c r="D921" s="107" t="s">
        <v>2045</v>
      </c>
      <c r="E921" s="108"/>
      <c r="F921" s="15" t="s">
        <v>2391</v>
      </c>
      <c r="G921" s="22">
        <v>6</v>
      </c>
      <c r="H921" s="73">
        <v>0</v>
      </c>
      <c r="I921" s="39"/>
    </row>
    <row r="922" spans="1:9" ht="12.25" customHeight="1" x14ac:dyDescent="0.3">
      <c r="A922" s="6"/>
      <c r="B922" s="15"/>
      <c r="C922" s="15"/>
      <c r="D922" s="67" t="s">
        <v>2606</v>
      </c>
      <c r="E922" s="138"/>
      <c r="F922" s="138"/>
      <c r="G922" s="70">
        <v>6</v>
      </c>
      <c r="H922" s="37"/>
      <c r="I922" s="39"/>
    </row>
    <row r="923" spans="1:9" x14ac:dyDescent="0.3">
      <c r="A923" s="6" t="s">
        <v>635</v>
      </c>
      <c r="B923" s="15"/>
      <c r="C923" s="15" t="s">
        <v>1262</v>
      </c>
      <c r="D923" s="107" t="s">
        <v>2046</v>
      </c>
      <c r="E923" s="108"/>
      <c r="F923" s="15" t="s">
        <v>2391</v>
      </c>
      <c r="G923" s="22">
        <v>5</v>
      </c>
      <c r="H923" s="73">
        <v>0</v>
      </c>
      <c r="I923" s="39"/>
    </row>
    <row r="924" spans="1:9" ht="12.25" customHeight="1" x14ac:dyDescent="0.3">
      <c r="A924" s="6"/>
      <c r="B924" s="15"/>
      <c r="C924" s="15"/>
      <c r="D924" s="67" t="s">
        <v>11</v>
      </c>
      <c r="E924" s="138"/>
      <c r="F924" s="138"/>
      <c r="G924" s="70">
        <v>5</v>
      </c>
      <c r="H924" s="37"/>
      <c r="I924" s="39"/>
    </row>
    <row r="925" spans="1:9" x14ac:dyDescent="0.3">
      <c r="A925" s="6" t="s">
        <v>636</v>
      </c>
      <c r="B925" s="15"/>
      <c r="C925" s="15" t="s">
        <v>1263</v>
      </c>
      <c r="D925" s="107" t="s">
        <v>2047</v>
      </c>
      <c r="E925" s="108"/>
      <c r="F925" s="15" t="s">
        <v>2391</v>
      </c>
      <c r="G925" s="22">
        <v>1</v>
      </c>
      <c r="H925" s="73">
        <v>0</v>
      </c>
      <c r="I925" s="39"/>
    </row>
    <row r="926" spans="1:9" ht="12.25" customHeight="1" x14ac:dyDescent="0.3">
      <c r="A926" s="6"/>
      <c r="B926" s="15"/>
      <c r="C926" s="15"/>
      <c r="D926" s="67" t="s">
        <v>7</v>
      </c>
      <c r="E926" s="138"/>
      <c r="F926" s="138"/>
      <c r="G926" s="70">
        <v>1</v>
      </c>
      <c r="H926" s="37"/>
      <c r="I926" s="39"/>
    </row>
    <row r="927" spans="1:9" x14ac:dyDescent="0.3">
      <c r="A927" s="6" t="s">
        <v>637</v>
      </c>
      <c r="B927" s="15"/>
      <c r="C927" s="15" t="s">
        <v>1264</v>
      </c>
      <c r="D927" s="107" t="s">
        <v>2048</v>
      </c>
      <c r="E927" s="108"/>
      <c r="F927" s="15" t="s">
        <v>2391</v>
      </c>
      <c r="G927" s="22">
        <v>26</v>
      </c>
      <c r="H927" s="73">
        <v>0</v>
      </c>
      <c r="I927" s="39"/>
    </row>
    <row r="928" spans="1:9" ht="12.25" customHeight="1" x14ac:dyDescent="0.3">
      <c r="A928" s="6"/>
      <c r="B928" s="15"/>
      <c r="C928" s="15"/>
      <c r="D928" s="67" t="s">
        <v>2607</v>
      </c>
      <c r="E928" s="138"/>
      <c r="F928" s="138"/>
      <c r="G928" s="70">
        <v>26</v>
      </c>
      <c r="H928" s="37"/>
      <c r="I928" s="39"/>
    </row>
    <row r="929" spans="1:9" x14ac:dyDescent="0.3">
      <c r="A929" s="6" t="s">
        <v>638</v>
      </c>
      <c r="B929" s="15"/>
      <c r="C929" s="15" t="s">
        <v>1265</v>
      </c>
      <c r="D929" s="107" t="s">
        <v>2049</v>
      </c>
      <c r="E929" s="108"/>
      <c r="F929" s="15" t="s">
        <v>2391</v>
      </c>
      <c r="G929" s="22">
        <v>5</v>
      </c>
      <c r="H929" s="73">
        <v>0</v>
      </c>
      <c r="I929" s="39"/>
    </row>
    <row r="930" spans="1:9" ht="12.25" customHeight="1" x14ac:dyDescent="0.3">
      <c r="A930" s="6"/>
      <c r="B930" s="15"/>
      <c r="C930" s="15"/>
      <c r="D930" s="67" t="s">
        <v>11</v>
      </c>
      <c r="E930" s="138"/>
      <c r="F930" s="138"/>
      <c r="G930" s="70">
        <v>5</v>
      </c>
      <c r="H930" s="37"/>
      <c r="I930" s="39"/>
    </row>
    <row r="931" spans="1:9" x14ac:dyDescent="0.3">
      <c r="A931" s="6" t="s">
        <v>639</v>
      </c>
      <c r="B931" s="15"/>
      <c r="C931" s="15" t="s">
        <v>1266</v>
      </c>
      <c r="D931" s="107" t="s">
        <v>2050</v>
      </c>
      <c r="E931" s="108"/>
      <c r="F931" s="15" t="s">
        <v>2391</v>
      </c>
      <c r="G931" s="22">
        <v>1</v>
      </c>
      <c r="H931" s="73">
        <v>0</v>
      </c>
      <c r="I931" s="39"/>
    </row>
    <row r="932" spans="1:9" ht="12.25" customHeight="1" x14ac:dyDescent="0.3">
      <c r="A932" s="6"/>
      <c r="B932" s="15"/>
      <c r="C932" s="15"/>
      <c r="D932" s="67" t="s">
        <v>7</v>
      </c>
      <c r="E932" s="138"/>
      <c r="F932" s="138"/>
      <c r="G932" s="70">
        <v>1</v>
      </c>
      <c r="H932" s="37"/>
      <c r="I932" s="39"/>
    </row>
    <row r="933" spans="1:9" x14ac:dyDescent="0.3">
      <c r="A933" s="6" t="s">
        <v>640</v>
      </c>
      <c r="B933" s="15"/>
      <c r="C933" s="15" t="s">
        <v>1266</v>
      </c>
      <c r="D933" s="107" t="s">
        <v>2051</v>
      </c>
      <c r="E933" s="108"/>
      <c r="F933" s="15" t="s">
        <v>2391</v>
      </c>
      <c r="G933" s="22">
        <v>4</v>
      </c>
      <c r="H933" s="73">
        <v>0</v>
      </c>
      <c r="I933" s="39"/>
    </row>
    <row r="934" spans="1:9" ht="12.25" customHeight="1" x14ac:dyDescent="0.3">
      <c r="A934" s="6"/>
      <c r="B934" s="15"/>
      <c r="C934" s="15"/>
      <c r="D934" s="67" t="s">
        <v>10</v>
      </c>
      <c r="E934" s="138"/>
      <c r="F934" s="138"/>
      <c r="G934" s="70">
        <v>4</v>
      </c>
      <c r="H934" s="37"/>
      <c r="I934" s="39"/>
    </row>
    <row r="935" spans="1:9" x14ac:dyDescent="0.3">
      <c r="A935" s="6" t="s">
        <v>641</v>
      </c>
      <c r="B935" s="15"/>
      <c r="C935" s="15" t="s">
        <v>1266</v>
      </c>
      <c r="D935" s="107" t="s">
        <v>2052</v>
      </c>
      <c r="E935" s="108"/>
      <c r="F935" s="15" t="s">
        <v>2391</v>
      </c>
      <c r="G935" s="22">
        <v>3</v>
      </c>
      <c r="H935" s="73">
        <v>0</v>
      </c>
      <c r="I935" s="39"/>
    </row>
    <row r="936" spans="1:9" ht="12.25" customHeight="1" x14ac:dyDescent="0.3">
      <c r="A936" s="6"/>
      <c r="B936" s="15"/>
      <c r="C936" s="15"/>
      <c r="D936" s="67" t="s">
        <v>9</v>
      </c>
      <c r="E936" s="138"/>
      <c r="F936" s="138"/>
      <c r="G936" s="70">
        <v>3</v>
      </c>
      <c r="H936" s="37"/>
      <c r="I936" s="39"/>
    </row>
    <row r="937" spans="1:9" x14ac:dyDescent="0.3">
      <c r="A937" s="6" t="s">
        <v>642</v>
      </c>
      <c r="B937" s="15"/>
      <c r="C937" s="15" t="s">
        <v>1266</v>
      </c>
      <c r="D937" s="107" t="s">
        <v>2053</v>
      </c>
      <c r="E937" s="108"/>
      <c r="F937" s="15" t="s">
        <v>2391</v>
      </c>
      <c r="G937" s="22">
        <v>16</v>
      </c>
      <c r="H937" s="73">
        <v>0</v>
      </c>
      <c r="I937" s="39"/>
    </row>
    <row r="938" spans="1:9" ht="12.25" customHeight="1" x14ac:dyDescent="0.3">
      <c r="A938" s="6"/>
      <c r="B938" s="15"/>
      <c r="C938" s="15"/>
      <c r="D938" s="67" t="s">
        <v>22</v>
      </c>
      <c r="E938" s="138"/>
      <c r="F938" s="138"/>
      <c r="G938" s="70">
        <v>16</v>
      </c>
      <c r="H938" s="37"/>
      <c r="I938" s="39"/>
    </row>
    <row r="939" spans="1:9" x14ac:dyDescent="0.3">
      <c r="A939" s="6" t="s">
        <v>643</v>
      </c>
      <c r="B939" s="15"/>
      <c r="C939" s="15" t="s">
        <v>1267</v>
      </c>
      <c r="D939" s="107" t="s">
        <v>2054</v>
      </c>
      <c r="E939" s="108"/>
      <c r="F939" s="15" t="s">
        <v>2391</v>
      </c>
      <c r="G939" s="22">
        <v>2</v>
      </c>
      <c r="H939" s="73">
        <v>0</v>
      </c>
      <c r="I939" s="39"/>
    </row>
    <row r="940" spans="1:9" ht="12.25" customHeight="1" x14ac:dyDescent="0.3">
      <c r="A940" s="6"/>
      <c r="B940" s="15"/>
      <c r="C940" s="15"/>
      <c r="D940" s="67" t="s">
        <v>8</v>
      </c>
      <c r="E940" s="138"/>
      <c r="F940" s="138"/>
      <c r="G940" s="70">
        <v>2</v>
      </c>
      <c r="H940" s="37"/>
      <c r="I940" s="39"/>
    </row>
    <row r="941" spans="1:9" x14ac:dyDescent="0.3">
      <c r="A941" s="4" t="s">
        <v>644</v>
      </c>
      <c r="B941" s="13"/>
      <c r="C941" s="13" t="s">
        <v>1252</v>
      </c>
      <c r="D941" s="101" t="s">
        <v>2055</v>
      </c>
      <c r="E941" s="102"/>
      <c r="F941" s="13" t="s">
        <v>2387</v>
      </c>
      <c r="G941" s="21">
        <v>144.53</v>
      </c>
      <c r="H941" s="72">
        <v>0</v>
      </c>
      <c r="I941" s="39"/>
    </row>
    <row r="942" spans="1:9" ht="12.25" customHeight="1" x14ac:dyDescent="0.3">
      <c r="A942" s="4"/>
      <c r="B942" s="13"/>
      <c r="C942" s="13"/>
      <c r="D942" s="67" t="s">
        <v>2608</v>
      </c>
      <c r="E942" s="138"/>
      <c r="F942" s="138"/>
      <c r="G942" s="69">
        <v>144.53</v>
      </c>
      <c r="H942" s="35"/>
      <c r="I942" s="39"/>
    </row>
    <row r="943" spans="1:9" x14ac:dyDescent="0.3">
      <c r="A943" s="66"/>
      <c r="B943" s="14"/>
      <c r="C943" s="14" t="s">
        <v>773</v>
      </c>
      <c r="D943" s="103" t="s">
        <v>2056</v>
      </c>
      <c r="E943" s="104"/>
      <c r="F943" s="14"/>
      <c r="G943" s="31"/>
      <c r="H943" s="36"/>
      <c r="I943" s="39"/>
    </row>
    <row r="944" spans="1:9" x14ac:dyDescent="0.3">
      <c r="A944" s="4" t="s">
        <v>645</v>
      </c>
      <c r="B944" s="13"/>
      <c r="C944" s="13" t="s">
        <v>1268</v>
      </c>
      <c r="D944" s="101" t="s">
        <v>2057</v>
      </c>
      <c r="E944" s="102"/>
      <c r="F944" s="13" t="s">
        <v>2387</v>
      </c>
      <c r="G944" s="21">
        <v>114.37</v>
      </c>
      <c r="H944" s="72">
        <v>0</v>
      </c>
      <c r="I944" s="39"/>
    </row>
    <row r="945" spans="1:9" ht="12.25" customHeight="1" x14ac:dyDescent="0.3">
      <c r="A945" s="4"/>
      <c r="B945" s="13"/>
      <c r="C945" s="13"/>
      <c r="D945" s="67" t="s">
        <v>2609</v>
      </c>
      <c r="E945" s="138"/>
      <c r="F945" s="138"/>
      <c r="G945" s="69">
        <v>13.57</v>
      </c>
      <c r="H945" s="35"/>
      <c r="I945" s="39"/>
    </row>
    <row r="946" spans="1:9" ht="12.25" customHeight="1" x14ac:dyDescent="0.3">
      <c r="A946" s="4"/>
      <c r="B946" s="13"/>
      <c r="C946" s="13"/>
      <c r="D946" s="67" t="s">
        <v>2570</v>
      </c>
      <c r="E946" s="138"/>
      <c r="F946" s="138"/>
      <c r="G946" s="69">
        <v>32.49</v>
      </c>
      <c r="H946" s="35"/>
      <c r="I946" s="39"/>
    </row>
    <row r="947" spans="1:9" ht="12.25" customHeight="1" x14ac:dyDescent="0.3">
      <c r="A947" s="4"/>
      <c r="B947" s="13"/>
      <c r="C947" s="13"/>
      <c r="D947" s="67" t="s">
        <v>2573</v>
      </c>
      <c r="E947" s="138"/>
      <c r="F947" s="138"/>
      <c r="G947" s="69">
        <v>35.07</v>
      </c>
      <c r="H947" s="35"/>
      <c r="I947" s="39"/>
    </row>
    <row r="948" spans="1:9" ht="12.25" customHeight="1" x14ac:dyDescent="0.3">
      <c r="A948" s="4"/>
      <c r="B948" s="13"/>
      <c r="C948" s="13"/>
      <c r="D948" s="67" t="s">
        <v>2610</v>
      </c>
      <c r="E948" s="138"/>
      <c r="F948" s="138"/>
      <c r="G948" s="69">
        <v>33.24</v>
      </c>
      <c r="H948" s="35"/>
      <c r="I948" s="39"/>
    </row>
    <row r="949" spans="1:9" x14ac:dyDescent="0.3">
      <c r="A949" s="4" t="s">
        <v>646</v>
      </c>
      <c r="B949" s="13"/>
      <c r="C949" s="13" t="s">
        <v>1269</v>
      </c>
      <c r="D949" s="101" t="s">
        <v>2058</v>
      </c>
      <c r="E949" s="102"/>
      <c r="F949" s="13" t="s">
        <v>2385</v>
      </c>
      <c r="G949" s="21">
        <v>0</v>
      </c>
      <c r="H949" s="72">
        <v>0</v>
      </c>
      <c r="I949" s="39"/>
    </row>
    <row r="950" spans="1:9" x14ac:dyDescent="0.3">
      <c r="A950" s="6" t="s">
        <v>647</v>
      </c>
      <c r="B950" s="15"/>
      <c r="C950" s="15" t="s">
        <v>1270</v>
      </c>
      <c r="D950" s="107" t="s">
        <v>2059</v>
      </c>
      <c r="E950" s="108"/>
      <c r="F950" s="15" t="s">
        <v>2387</v>
      </c>
      <c r="G950" s="22">
        <v>131.52549999999999</v>
      </c>
      <c r="H950" s="73">
        <v>0</v>
      </c>
      <c r="I950" s="39"/>
    </row>
    <row r="951" spans="1:9" ht="12.25" customHeight="1" x14ac:dyDescent="0.3">
      <c r="A951" s="6"/>
      <c r="B951" s="15"/>
      <c r="C951" s="15"/>
      <c r="D951" s="67" t="s">
        <v>2611</v>
      </c>
      <c r="E951" s="138"/>
      <c r="F951" s="138"/>
      <c r="G951" s="70">
        <v>114.37</v>
      </c>
      <c r="H951" s="37"/>
      <c r="I951" s="39"/>
    </row>
    <row r="952" spans="1:9" ht="12.25" customHeight="1" x14ac:dyDescent="0.3">
      <c r="A952" s="6"/>
      <c r="B952" s="15"/>
      <c r="C952" s="15"/>
      <c r="D952" s="67" t="s">
        <v>2612</v>
      </c>
      <c r="E952" s="138"/>
      <c r="F952" s="138"/>
      <c r="G952" s="70">
        <v>17.1555</v>
      </c>
      <c r="H952" s="37"/>
      <c r="I952" s="39"/>
    </row>
    <row r="953" spans="1:9" x14ac:dyDescent="0.3">
      <c r="A953" s="4" t="s">
        <v>648</v>
      </c>
      <c r="B953" s="13"/>
      <c r="C953" s="13" t="s">
        <v>1271</v>
      </c>
      <c r="D953" s="101" t="s">
        <v>2060</v>
      </c>
      <c r="E953" s="102"/>
      <c r="F953" s="13" t="s">
        <v>2387</v>
      </c>
      <c r="G953" s="21">
        <v>114.37</v>
      </c>
      <c r="H953" s="72">
        <v>0</v>
      </c>
      <c r="I953" s="39"/>
    </row>
    <row r="954" spans="1:9" ht="12.25" customHeight="1" x14ac:dyDescent="0.3">
      <c r="A954" s="4"/>
      <c r="B954" s="13"/>
      <c r="C954" s="13"/>
      <c r="D954" s="67" t="s">
        <v>2611</v>
      </c>
      <c r="E954" s="138"/>
      <c r="F954" s="138"/>
      <c r="G954" s="69">
        <v>114.37</v>
      </c>
      <c r="H954" s="35"/>
      <c r="I954" s="39"/>
    </row>
    <row r="955" spans="1:9" x14ac:dyDescent="0.3">
      <c r="A955" s="4" t="s">
        <v>649</v>
      </c>
      <c r="B955" s="13"/>
      <c r="C955" s="13" t="s">
        <v>1272</v>
      </c>
      <c r="D955" s="101" t="s">
        <v>2061</v>
      </c>
      <c r="E955" s="102"/>
      <c r="F955" s="13" t="s">
        <v>2387</v>
      </c>
      <c r="G955" s="21">
        <v>114.37</v>
      </c>
      <c r="H955" s="72">
        <v>0</v>
      </c>
      <c r="I955" s="39"/>
    </row>
    <row r="956" spans="1:9" ht="12.25" customHeight="1" x14ac:dyDescent="0.3">
      <c r="A956" s="4"/>
      <c r="B956" s="13"/>
      <c r="C956" s="13"/>
      <c r="D956" s="67" t="s">
        <v>2611</v>
      </c>
      <c r="E956" s="138"/>
      <c r="F956" s="138"/>
      <c r="G956" s="69">
        <v>114.37</v>
      </c>
      <c r="H956" s="35"/>
      <c r="I956" s="39"/>
    </row>
    <row r="957" spans="1:9" x14ac:dyDescent="0.3">
      <c r="A957" s="4" t="s">
        <v>650</v>
      </c>
      <c r="B957" s="13"/>
      <c r="C957" s="13" t="s">
        <v>1273</v>
      </c>
      <c r="D957" s="101" t="s">
        <v>2062</v>
      </c>
      <c r="E957" s="102"/>
      <c r="F957" s="13" t="s">
        <v>2385</v>
      </c>
      <c r="G957" s="21">
        <v>95</v>
      </c>
      <c r="H957" s="72">
        <v>0</v>
      </c>
      <c r="I957" s="39"/>
    </row>
    <row r="958" spans="1:9" ht="12.25" customHeight="1" x14ac:dyDescent="0.3">
      <c r="A958" s="4"/>
      <c r="B958" s="13"/>
      <c r="C958" s="13"/>
      <c r="D958" s="67" t="s">
        <v>101</v>
      </c>
      <c r="E958" s="138"/>
      <c r="F958" s="138"/>
      <c r="G958" s="69">
        <v>95</v>
      </c>
      <c r="H958" s="35"/>
      <c r="I958" s="39"/>
    </row>
    <row r="959" spans="1:9" x14ac:dyDescent="0.3">
      <c r="A959" s="66"/>
      <c r="B959" s="14"/>
      <c r="C959" s="14" t="s">
        <v>778</v>
      </c>
      <c r="D959" s="103" t="s">
        <v>2063</v>
      </c>
      <c r="E959" s="104"/>
      <c r="F959" s="14"/>
      <c r="G959" s="31"/>
      <c r="H959" s="36"/>
      <c r="I959" s="39"/>
    </row>
    <row r="960" spans="1:9" x14ac:dyDescent="0.3">
      <c r="A960" s="4" t="s">
        <v>651</v>
      </c>
      <c r="B960" s="13"/>
      <c r="C960" s="13" t="s">
        <v>1274</v>
      </c>
      <c r="D960" s="101" t="s">
        <v>2064</v>
      </c>
      <c r="E960" s="102"/>
      <c r="F960" s="13" t="s">
        <v>2387</v>
      </c>
      <c r="G960" s="21">
        <v>424.56</v>
      </c>
      <c r="H960" s="72">
        <v>0</v>
      </c>
      <c r="I960" s="39"/>
    </row>
    <row r="961" spans="1:9" ht="12.25" customHeight="1" x14ac:dyDescent="0.3">
      <c r="A961" s="4"/>
      <c r="B961" s="13"/>
      <c r="C961" s="13"/>
      <c r="D961" s="67" t="s">
        <v>2613</v>
      </c>
      <c r="E961" s="138"/>
      <c r="F961" s="138"/>
      <c r="G961" s="69">
        <v>198.87</v>
      </c>
      <c r="H961" s="35"/>
      <c r="I961" s="39"/>
    </row>
    <row r="962" spans="1:9" ht="12.25" customHeight="1" x14ac:dyDescent="0.3">
      <c r="A962" s="4"/>
      <c r="B962" s="13"/>
      <c r="C962" s="13"/>
      <c r="D962" s="67" t="s">
        <v>2614</v>
      </c>
      <c r="E962" s="138"/>
      <c r="F962" s="138"/>
      <c r="G962" s="69">
        <v>138.54</v>
      </c>
      <c r="H962" s="35"/>
      <c r="I962" s="39"/>
    </row>
    <row r="963" spans="1:9" ht="12.25" customHeight="1" x14ac:dyDescent="0.3">
      <c r="A963" s="4"/>
      <c r="B963" s="13"/>
      <c r="C963" s="13"/>
      <c r="D963" s="67" t="s">
        <v>2615</v>
      </c>
      <c r="E963" s="138"/>
      <c r="F963" s="138"/>
      <c r="G963" s="69">
        <v>87.15</v>
      </c>
      <c r="H963" s="35"/>
      <c r="I963" s="39"/>
    </row>
    <row r="964" spans="1:9" x14ac:dyDescent="0.3">
      <c r="A964" s="4" t="s">
        <v>652</v>
      </c>
      <c r="B964" s="13"/>
      <c r="C964" s="13" t="s">
        <v>1275</v>
      </c>
      <c r="D964" s="101" t="s">
        <v>2065</v>
      </c>
      <c r="E964" s="102"/>
      <c r="F964" s="13" t="s">
        <v>2387</v>
      </c>
      <c r="G964" s="21">
        <v>914.55</v>
      </c>
      <c r="H964" s="72">
        <v>0</v>
      </c>
      <c r="I964" s="39"/>
    </row>
    <row r="965" spans="1:9" ht="12.25" customHeight="1" x14ac:dyDescent="0.3">
      <c r="A965" s="4"/>
      <c r="B965" s="13"/>
      <c r="C965" s="13"/>
      <c r="D965" s="67" t="s">
        <v>2616</v>
      </c>
      <c r="E965" s="138"/>
      <c r="F965" s="138"/>
      <c r="G965" s="69">
        <v>124.42</v>
      </c>
      <c r="H965" s="35"/>
      <c r="I965" s="39"/>
    </row>
    <row r="966" spans="1:9" ht="12.25" customHeight="1" x14ac:dyDescent="0.3">
      <c r="A966" s="4"/>
      <c r="B966" s="13"/>
      <c r="C966" s="13"/>
      <c r="D966" s="67" t="s">
        <v>2617</v>
      </c>
      <c r="E966" s="138"/>
      <c r="F966" s="138"/>
      <c r="G966" s="69">
        <v>261.20999999999998</v>
      </c>
      <c r="H966" s="35"/>
      <c r="I966" s="39"/>
    </row>
    <row r="967" spans="1:9" ht="12.25" customHeight="1" x14ac:dyDescent="0.3">
      <c r="A967" s="4"/>
      <c r="B967" s="13"/>
      <c r="C967" s="13"/>
      <c r="D967" s="67" t="s">
        <v>2618</v>
      </c>
      <c r="E967" s="138"/>
      <c r="F967" s="138"/>
      <c r="G967" s="69">
        <v>333.52</v>
      </c>
      <c r="H967" s="35"/>
      <c r="I967" s="39"/>
    </row>
    <row r="968" spans="1:9" ht="12.25" customHeight="1" x14ac:dyDescent="0.3">
      <c r="A968" s="4"/>
      <c r="B968" s="13"/>
      <c r="C968" s="13"/>
      <c r="D968" s="67" t="s">
        <v>2619</v>
      </c>
      <c r="E968" s="138"/>
      <c r="F968" s="138"/>
      <c r="G968" s="69">
        <v>195.4</v>
      </c>
      <c r="H968" s="35"/>
      <c r="I968" s="39"/>
    </row>
    <row r="969" spans="1:9" x14ac:dyDescent="0.3">
      <c r="A969" s="4" t="s">
        <v>653</v>
      </c>
      <c r="B969" s="13"/>
      <c r="C969" s="13" t="s">
        <v>1276</v>
      </c>
      <c r="D969" s="101" t="s">
        <v>2066</v>
      </c>
      <c r="E969" s="102"/>
      <c r="F969" s="13" t="s">
        <v>2385</v>
      </c>
      <c r="G969" s="21">
        <v>20.100000000000001</v>
      </c>
      <c r="H969" s="72">
        <v>0</v>
      </c>
      <c r="I969" s="39"/>
    </row>
    <row r="970" spans="1:9" ht="12.25" customHeight="1" x14ac:dyDescent="0.3">
      <c r="A970" s="4"/>
      <c r="B970" s="13"/>
      <c r="C970" s="13"/>
      <c r="D970" s="67" t="s">
        <v>2620</v>
      </c>
      <c r="E970" s="138"/>
      <c r="F970" s="138"/>
      <c r="G970" s="69">
        <v>10.3</v>
      </c>
      <c r="H970" s="35"/>
      <c r="I970" s="39"/>
    </row>
    <row r="971" spans="1:9" ht="12.25" customHeight="1" x14ac:dyDescent="0.3">
      <c r="A971" s="4"/>
      <c r="B971" s="13"/>
      <c r="C971" s="13"/>
      <c r="D971" s="67" t="s">
        <v>2621</v>
      </c>
      <c r="E971" s="138"/>
      <c r="F971" s="138"/>
      <c r="G971" s="69">
        <v>9.8000000000000007</v>
      </c>
      <c r="H971" s="35"/>
      <c r="I971" s="39"/>
    </row>
    <row r="972" spans="1:9" x14ac:dyDescent="0.3">
      <c r="A972" s="6" t="s">
        <v>654</v>
      </c>
      <c r="B972" s="15"/>
      <c r="C972" s="15" t="s">
        <v>1277</v>
      </c>
      <c r="D972" s="107" t="s">
        <v>2067</v>
      </c>
      <c r="E972" s="108"/>
      <c r="F972" s="15" t="s">
        <v>2387</v>
      </c>
      <c r="G972" s="22">
        <v>988.44839999999999</v>
      </c>
      <c r="H972" s="73">
        <v>0</v>
      </c>
      <c r="I972" s="39"/>
    </row>
    <row r="973" spans="1:9" ht="12.25" customHeight="1" x14ac:dyDescent="0.3">
      <c r="A973" s="6"/>
      <c r="B973" s="15"/>
      <c r="C973" s="15"/>
      <c r="D973" s="67" t="s">
        <v>2622</v>
      </c>
      <c r="E973" s="138"/>
      <c r="F973" s="138"/>
      <c r="G973" s="70">
        <v>915.23</v>
      </c>
      <c r="H973" s="37"/>
      <c r="I973" s="39"/>
    </row>
    <row r="974" spans="1:9" ht="12.25" customHeight="1" x14ac:dyDescent="0.3">
      <c r="A974" s="6"/>
      <c r="B974" s="15"/>
      <c r="C974" s="15"/>
      <c r="D974" s="67" t="s">
        <v>2623</v>
      </c>
      <c r="E974" s="138"/>
      <c r="F974" s="138"/>
      <c r="G974" s="70">
        <v>73.218400000000003</v>
      </c>
      <c r="H974" s="37"/>
      <c r="I974" s="39"/>
    </row>
    <row r="975" spans="1:9" x14ac:dyDescent="0.3">
      <c r="A975" s="4" t="s">
        <v>655</v>
      </c>
      <c r="B975" s="13"/>
      <c r="C975" s="13" t="s">
        <v>1278</v>
      </c>
      <c r="D975" s="101" t="s">
        <v>2068</v>
      </c>
      <c r="E975" s="102"/>
      <c r="F975" s="13" t="s">
        <v>2385</v>
      </c>
      <c r="G975" s="21">
        <v>102.6</v>
      </c>
      <c r="H975" s="72">
        <v>0</v>
      </c>
      <c r="I975" s="39"/>
    </row>
    <row r="976" spans="1:9" ht="12.25" customHeight="1" x14ac:dyDescent="0.3">
      <c r="A976" s="4"/>
      <c r="B976" s="13"/>
      <c r="C976" s="13"/>
      <c r="D976" s="67" t="s">
        <v>2624</v>
      </c>
      <c r="E976" s="138"/>
      <c r="F976" s="138"/>
      <c r="G976" s="69">
        <v>102.6</v>
      </c>
      <c r="H976" s="35"/>
      <c r="I976" s="39"/>
    </row>
    <row r="977" spans="1:9" x14ac:dyDescent="0.3">
      <c r="A977" s="4" t="s">
        <v>656</v>
      </c>
      <c r="B977" s="13"/>
      <c r="C977" s="13" t="s">
        <v>1279</v>
      </c>
      <c r="D977" s="101" t="s">
        <v>2069</v>
      </c>
      <c r="E977" s="102"/>
      <c r="F977" s="13" t="s">
        <v>2385</v>
      </c>
      <c r="G977" s="21">
        <v>40.799999999999997</v>
      </c>
      <c r="H977" s="72">
        <v>0</v>
      </c>
      <c r="I977" s="39"/>
    </row>
    <row r="978" spans="1:9" ht="12.25" customHeight="1" x14ac:dyDescent="0.3">
      <c r="A978" s="4"/>
      <c r="B978" s="13"/>
      <c r="C978" s="13"/>
      <c r="D978" s="67" t="s">
        <v>2625</v>
      </c>
      <c r="E978" s="138"/>
      <c r="F978" s="138"/>
      <c r="G978" s="69">
        <v>40.799999999999997</v>
      </c>
      <c r="H978" s="35"/>
      <c r="I978" s="39"/>
    </row>
    <row r="979" spans="1:9" x14ac:dyDescent="0.3">
      <c r="A979" s="66"/>
      <c r="B979" s="14"/>
      <c r="C979" s="14" t="s">
        <v>783</v>
      </c>
      <c r="D979" s="103" t="s">
        <v>2070</v>
      </c>
      <c r="E979" s="104"/>
      <c r="F979" s="14"/>
      <c r="G979" s="31"/>
      <c r="H979" s="36"/>
      <c r="I979" s="39"/>
    </row>
    <row r="980" spans="1:9" x14ac:dyDescent="0.3">
      <c r="A980" s="4" t="s">
        <v>657</v>
      </c>
      <c r="B980" s="13"/>
      <c r="C980" s="13" t="s">
        <v>1280</v>
      </c>
      <c r="D980" s="101" t="s">
        <v>2071</v>
      </c>
      <c r="E980" s="102"/>
      <c r="F980" s="13" t="s">
        <v>2387</v>
      </c>
      <c r="G980" s="21">
        <v>514.31050000000005</v>
      </c>
      <c r="H980" s="72">
        <v>0</v>
      </c>
      <c r="I980" s="39"/>
    </row>
    <row r="981" spans="1:9" ht="12.25" customHeight="1" x14ac:dyDescent="0.3">
      <c r="A981" s="4"/>
      <c r="B981" s="13"/>
      <c r="C981" s="13"/>
      <c r="D981" s="67" t="s">
        <v>2626</v>
      </c>
      <c r="E981" s="138"/>
      <c r="F981" s="138"/>
      <c r="G981" s="69">
        <v>13.7705</v>
      </c>
      <c r="H981" s="35"/>
      <c r="I981" s="39"/>
    </row>
    <row r="982" spans="1:9" ht="12.25" customHeight="1" x14ac:dyDescent="0.3">
      <c r="A982" s="4"/>
      <c r="B982" s="13"/>
      <c r="C982" s="13"/>
      <c r="D982" s="67" t="s">
        <v>2627</v>
      </c>
      <c r="E982" s="138"/>
      <c r="F982" s="138"/>
      <c r="G982" s="69">
        <v>69.66</v>
      </c>
      <c r="H982" s="35"/>
      <c r="I982" s="39"/>
    </row>
    <row r="983" spans="1:9" ht="12.25" customHeight="1" x14ac:dyDescent="0.3">
      <c r="A983" s="4"/>
      <c r="B983" s="13"/>
      <c r="C983" s="13"/>
      <c r="D983" s="67" t="s">
        <v>2628</v>
      </c>
      <c r="E983" s="138"/>
      <c r="F983" s="138"/>
      <c r="G983" s="69">
        <v>30.192</v>
      </c>
      <c r="H983" s="35"/>
      <c r="I983" s="39"/>
    </row>
    <row r="984" spans="1:9" ht="12.25" customHeight="1" x14ac:dyDescent="0.3">
      <c r="A984" s="4"/>
      <c r="B984" s="13"/>
      <c r="C984" s="13"/>
      <c r="D984" s="67" t="s">
        <v>2629</v>
      </c>
      <c r="E984" s="138"/>
      <c r="F984" s="138"/>
      <c r="G984" s="69">
        <v>10.247999999999999</v>
      </c>
      <c r="H984" s="35"/>
      <c r="I984" s="39"/>
    </row>
    <row r="985" spans="1:9" ht="12.25" customHeight="1" x14ac:dyDescent="0.3">
      <c r="A985" s="4"/>
      <c r="B985" s="13"/>
      <c r="C985" s="13"/>
      <c r="D985" s="67" t="s">
        <v>2630</v>
      </c>
      <c r="E985" s="138"/>
      <c r="F985" s="138"/>
      <c r="G985" s="69">
        <v>63.8</v>
      </c>
      <c r="H985" s="35"/>
      <c r="I985" s="39"/>
    </row>
    <row r="986" spans="1:9" ht="12.25" customHeight="1" x14ac:dyDescent="0.3">
      <c r="A986" s="4"/>
      <c r="B986" s="13"/>
      <c r="C986" s="13"/>
      <c r="D986" s="67" t="s">
        <v>2631</v>
      </c>
      <c r="E986" s="138"/>
      <c r="F986" s="138"/>
      <c r="G986" s="69">
        <v>324.89999999999998</v>
      </c>
      <c r="H986" s="35"/>
      <c r="I986" s="39"/>
    </row>
    <row r="987" spans="1:9" ht="12.25" customHeight="1" x14ac:dyDescent="0.3">
      <c r="A987" s="4"/>
      <c r="B987" s="13"/>
      <c r="C987" s="13"/>
      <c r="D987" s="67" t="s">
        <v>2632</v>
      </c>
      <c r="E987" s="138"/>
      <c r="F987" s="138"/>
      <c r="G987" s="69">
        <v>1.74</v>
      </c>
      <c r="H987" s="35"/>
      <c r="I987" s="39"/>
    </row>
    <row r="988" spans="1:9" x14ac:dyDescent="0.3">
      <c r="A988" s="6" t="s">
        <v>658</v>
      </c>
      <c r="B988" s="15"/>
      <c r="C988" s="15" t="s">
        <v>1281</v>
      </c>
      <c r="D988" s="107" t="s">
        <v>2072</v>
      </c>
      <c r="E988" s="108"/>
      <c r="F988" s="15" t="s">
        <v>2387</v>
      </c>
      <c r="G988" s="22">
        <v>461.35700000000003</v>
      </c>
      <c r="H988" s="73">
        <v>0</v>
      </c>
      <c r="I988" s="39"/>
    </row>
    <row r="989" spans="1:9" ht="12.25" customHeight="1" x14ac:dyDescent="0.3">
      <c r="A989" s="6"/>
      <c r="B989" s="15"/>
      <c r="C989" s="15"/>
      <c r="D989" s="67" t="s">
        <v>2633</v>
      </c>
      <c r="E989" s="138"/>
      <c r="F989" s="138"/>
      <c r="G989" s="70">
        <v>401.18</v>
      </c>
      <c r="H989" s="37"/>
      <c r="I989" s="39"/>
    </row>
    <row r="990" spans="1:9" ht="12.25" customHeight="1" x14ac:dyDescent="0.3">
      <c r="A990" s="6"/>
      <c r="B990" s="15"/>
      <c r="C990" s="15"/>
      <c r="D990" s="67" t="s">
        <v>2634</v>
      </c>
      <c r="E990" s="138"/>
      <c r="F990" s="138"/>
      <c r="G990" s="70">
        <v>60.177</v>
      </c>
      <c r="H990" s="37"/>
      <c r="I990" s="39"/>
    </row>
    <row r="991" spans="1:9" x14ac:dyDescent="0.3">
      <c r="A991" s="6" t="s">
        <v>659</v>
      </c>
      <c r="B991" s="15"/>
      <c r="C991" s="15" t="s">
        <v>1282</v>
      </c>
      <c r="D991" s="107" t="s">
        <v>2073</v>
      </c>
      <c r="E991" s="108"/>
      <c r="F991" s="15" t="s">
        <v>2387</v>
      </c>
      <c r="G991" s="22">
        <v>138.37950000000001</v>
      </c>
      <c r="H991" s="73">
        <v>0</v>
      </c>
      <c r="I991" s="39"/>
    </row>
    <row r="992" spans="1:9" ht="12.25" customHeight="1" x14ac:dyDescent="0.3">
      <c r="A992" s="6"/>
      <c r="B992" s="15"/>
      <c r="C992" s="15"/>
      <c r="D992" s="67" t="s">
        <v>2635</v>
      </c>
      <c r="E992" s="138"/>
      <c r="F992" s="138"/>
      <c r="G992" s="70">
        <v>120.33</v>
      </c>
      <c r="H992" s="37"/>
      <c r="I992" s="39"/>
    </row>
    <row r="993" spans="1:9" ht="12.25" customHeight="1" x14ac:dyDescent="0.3">
      <c r="A993" s="6"/>
      <c r="B993" s="15"/>
      <c r="C993" s="15"/>
      <c r="D993" s="67" t="s">
        <v>2636</v>
      </c>
      <c r="E993" s="138"/>
      <c r="F993" s="138"/>
      <c r="G993" s="70">
        <v>18.049499999999998</v>
      </c>
      <c r="H993" s="37"/>
      <c r="I993" s="39"/>
    </row>
    <row r="994" spans="1:9" x14ac:dyDescent="0.3">
      <c r="A994" s="4" t="s">
        <v>660</v>
      </c>
      <c r="B994" s="13"/>
      <c r="C994" s="13" t="s">
        <v>1283</v>
      </c>
      <c r="D994" s="101" t="s">
        <v>2074</v>
      </c>
      <c r="E994" s="102"/>
      <c r="F994" s="13" t="s">
        <v>2385</v>
      </c>
      <c r="G994" s="21">
        <v>492</v>
      </c>
      <c r="H994" s="72">
        <v>0</v>
      </c>
      <c r="I994" s="39"/>
    </row>
    <row r="995" spans="1:9" ht="12.25" customHeight="1" x14ac:dyDescent="0.3">
      <c r="A995" s="4"/>
      <c r="B995" s="13"/>
      <c r="C995" s="13"/>
      <c r="D995" s="67" t="s">
        <v>2637</v>
      </c>
      <c r="E995" s="138"/>
      <c r="F995" s="138"/>
      <c r="G995" s="69">
        <v>492</v>
      </c>
      <c r="H995" s="35"/>
      <c r="I995" s="39"/>
    </row>
    <row r="996" spans="1:9" x14ac:dyDescent="0.3">
      <c r="A996" s="4" t="s">
        <v>661</v>
      </c>
      <c r="B996" s="13"/>
      <c r="C996" s="13" t="s">
        <v>1284</v>
      </c>
      <c r="D996" s="101" t="s">
        <v>2075</v>
      </c>
      <c r="E996" s="102"/>
      <c r="F996" s="13" t="s">
        <v>2391</v>
      </c>
      <c r="G996" s="21">
        <v>35</v>
      </c>
      <c r="H996" s="72">
        <v>0</v>
      </c>
      <c r="I996" s="39"/>
    </row>
    <row r="997" spans="1:9" ht="12.25" customHeight="1" x14ac:dyDescent="0.3">
      <c r="A997" s="4"/>
      <c r="B997" s="13"/>
      <c r="C997" s="13"/>
      <c r="D997" s="67" t="s">
        <v>41</v>
      </c>
      <c r="E997" s="138"/>
      <c r="F997" s="138"/>
      <c r="G997" s="69">
        <v>35</v>
      </c>
      <c r="H997" s="35"/>
      <c r="I997" s="39"/>
    </row>
    <row r="998" spans="1:9" x14ac:dyDescent="0.3">
      <c r="A998" s="4" t="s">
        <v>662</v>
      </c>
      <c r="B998" s="13"/>
      <c r="C998" s="13" t="s">
        <v>1285</v>
      </c>
      <c r="D998" s="101" t="s">
        <v>2076</v>
      </c>
      <c r="E998" s="102"/>
      <c r="F998" s="13" t="s">
        <v>2391</v>
      </c>
      <c r="G998" s="21">
        <v>25</v>
      </c>
      <c r="H998" s="72">
        <v>0</v>
      </c>
      <c r="I998" s="39"/>
    </row>
    <row r="999" spans="1:9" ht="12.25" customHeight="1" x14ac:dyDescent="0.3">
      <c r="A999" s="4"/>
      <c r="B999" s="13"/>
      <c r="C999" s="13"/>
      <c r="D999" s="67" t="s">
        <v>31</v>
      </c>
      <c r="E999" s="138"/>
      <c r="F999" s="138"/>
      <c r="G999" s="69">
        <v>25</v>
      </c>
      <c r="H999" s="35"/>
      <c r="I999" s="39"/>
    </row>
    <row r="1000" spans="1:9" x14ac:dyDescent="0.3">
      <c r="A1000" s="4" t="s">
        <v>663</v>
      </c>
      <c r="B1000" s="13"/>
      <c r="C1000" s="13" t="s">
        <v>1286</v>
      </c>
      <c r="D1000" s="101" t="s">
        <v>2077</v>
      </c>
      <c r="E1000" s="102"/>
      <c r="F1000" s="13" t="s">
        <v>2385</v>
      </c>
      <c r="G1000" s="21">
        <v>54.9</v>
      </c>
      <c r="H1000" s="72">
        <v>0</v>
      </c>
      <c r="I1000" s="39"/>
    </row>
    <row r="1001" spans="1:9" ht="12.25" customHeight="1" x14ac:dyDescent="0.3">
      <c r="A1001" s="4"/>
      <c r="B1001" s="13"/>
      <c r="C1001" s="13"/>
      <c r="D1001" s="67" t="s">
        <v>2638</v>
      </c>
      <c r="E1001" s="138"/>
      <c r="F1001" s="138"/>
      <c r="G1001" s="69">
        <v>54.9</v>
      </c>
      <c r="H1001" s="35"/>
      <c r="I1001" s="39"/>
    </row>
    <row r="1002" spans="1:9" x14ac:dyDescent="0.3">
      <c r="A1002" s="4" t="s">
        <v>664</v>
      </c>
      <c r="B1002" s="13"/>
      <c r="C1002" s="13" t="s">
        <v>1287</v>
      </c>
      <c r="D1002" s="101" t="s">
        <v>2078</v>
      </c>
      <c r="E1002" s="102"/>
      <c r="F1002" s="13" t="s">
        <v>2385</v>
      </c>
      <c r="G1002" s="21">
        <v>6.7</v>
      </c>
      <c r="H1002" s="72">
        <v>0</v>
      </c>
      <c r="I1002" s="39"/>
    </row>
    <row r="1003" spans="1:9" ht="12.25" customHeight="1" x14ac:dyDescent="0.3">
      <c r="A1003" s="4"/>
      <c r="B1003" s="13"/>
      <c r="C1003" s="13"/>
      <c r="D1003" s="67" t="s">
        <v>2639</v>
      </c>
      <c r="E1003" s="138"/>
      <c r="F1003" s="138"/>
      <c r="G1003" s="69">
        <v>6.7</v>
      </c>
      <c r="H1003" s="35"/>
      <c r="I1003" s="39"/>
    </row>
    <row r="1004" spans="1:9" x14ac:dyDescent="0.3">
      <c r="A1004" s="6" t="s">
        <v>665</v>
      </c>
      <c r="B1004" s="15"/>
      <c r="C1004" s="15" t="s">
        <v>1288</v>
      </c>
      <c r="D1004" s="107" t="s">
        <v>2079</v>
      </c>
      <c r="E1004" s="108"/>
      <c r="F1004" s="15" t="s">
        <v>2391</v>
      </c>
      <c r="G1004" s="22">
        <v>4</v>
      </c>
      <c r="H1004" s="73">
        <v>0</v>
      </c>
      <c r="I1004" s="39"/>
    </row>
    <row r="1005" spans="1:9" ht="12.25" customHeight="1" x14ac:dyDescent="0.3">
      <c r="A1005" s="6"/>
      <c r="B1005" s="15"/>
      <c r="C1005" s="15"/>
      <c r="D1005" s="67" t="s">
        <v>10</v>
      </c>
      <c r="E1005" s="138"/>
      <c r="F1005" s="138"/>
      <c r="G1005" s="70">
        <v>4</v>
      </c>
      <c r="H1005" s="37"/>
      <c r="I1005" s="39"/>
    </row>
    <row r="1006" spans="1:9" x14ac:dyDescent="0.3">
      <c r="A1006" s="66"/>
      <c r="B1006" s="14"/>
      <c r="C1006" s="14" t="s">
        <v>785</v>
      </c>
      <c r="D1006" s="103" t="s">
        <v>2080</v>
      </c>
      <c r="E1006" s="104"/>
      <c r="F1006" s="14"/>
      <c r="G1006" s="31"/>
      <c r="H1006" s="36"/>
      <c r="I1006" s="39"/>
    </row>
    <row r="1007" spans="1:9" x14ac:dyDescent="0.3">
      <c r="A1007" s="4" t="s">
        <v>666</v>
      </c>
      <c r="B1007" s="13" t="s">
        <v>1005</v>
      </c>
      <c r="C1007" s="13" t="s">
        <v>1289</v>
      </c>
      <c r="D1007" s="101" t="s">
        <v>2081</v>
      </c>
      <c r="E1007" s="102"/>
      <c r="F1007" s="13" t="s">
        <v>2387</v>
      </c>
      <c r="G1007" s="21">
        <v>55</v>
      </c>
      <c r="H1007" s="72">
        <v>0</v>
      </c>
      <c r="I1007" s="39"/>
    </row>
    <row r="1008" spans="1:9" ht="12.25" customHeight="1" x14ac:dyDescent="0.3">
      <c r="A1008" s="4"/>
      <c r="B1008" s="13"/>
      <c r="C1008" s="13"/>
      <c r="D1008" s="67" t="s">
        <v>61</v>
      </c>
      <c r="E1008" s="138"/>
      <c r="F1008" s="138"/>
      <c r="G1008" s="69">
        <v>55</v>
      </c>
      <c r="H1008" s="35"/>
      <c r="I1008" s="39"/>
    </row>
    <row r="1009" spans="1:9" x14ac:dyDescent="0.3">
      <c r="A1009" s="66"/>
      <c r="B1009" s="14"/>
      <c r="C1009" s="14" t="s">
        <v>786</v>
      </c>
      <c r="D1009" s="103" t="s">
        <v>2082</v>
      </c>
      <c r="E1009" s="104"/>
      <c r="F1009" s="14"/>
      <c r="G1009" s="31"/>
      <c r="H1009" s="36"/>
      <c r="I1009" s="39"/>
    </row>
    <row r="1010" spans="1:9" x14ac:dyDescent="0.3">
      <c r="A1010" s="4" t="s">
        <v>667</v>
      </c>
      <c r="B1010" s="13"/>
      <c r="C1010" s="13" t="s">
        <v>1290</v>
      </c>
      <c r="D1010" s="101" t="s">
        <v>2083</v>
      </c>
      <c r="E1010" s="102"/>
      <c r="F1010" s="13" t="s">
        <v>2387</v>
      </c>
      <c r="G1010" s="21">
        <v>1594.6315500000001</v>
      </c>
      <c r="H1010" s="72">
        <v>0</v>
      </c>
      <c r="I1010" s="39"/>
    </row>
    <row r="1011" spans="1:9" ht="12.25" customHeight="1" x14ac:dyDescent="0.3">
      <c r="A1011" s="4"/>
      <c r="B1011" s="13"/>
      <c r="C1011" s="13"/>
      <c r="D1011" s="67" t="s">
        <v>2640</v>
      </c>
      <c r="E1011" s="138"/>
      <c r="F1011" s="138"/>
      <c r="G1011" s="69">
        <v>1594.6315500000001</v>
      </c>
      <c r="H1011" s="35"/>
      <c r="I1011" s="39"/>
    </row>
    <row r="1012" spans="1:9" x14ac:dyDescent="0.3">
      <c r="A1012" s="4" t="s">
        <v>668</v>
      </c>
      <c r="B1012" s="13"/>
      <c r="C1012" s="13" t="s">
        <v>1291</v>
      </c>
      <c r="D1012" s="101" t="s">
        <v>2084</v>
      </c>
      <c r="E1012" s="102"/>
      <c r="F1012" s="13" t="s">
        <v>2387</v>
      </c>
      <c r="G1012" s="21">
        <v>1594.6315500000001</v>
      </c>
      <c r="H1012" s="72">
        <v>0</v>
      </c>
      <c r="I1012" s="39"/>
    </row>
    <row r="1013" spans="1:9" ht="12.25" customHeight="1" x14ac:dyDescent="0.3">
      <c r="A1013" s="4"/>
      <c r="B1013" s="13"/>
      <c r="C1013" s="13"/>
      <c r="D1013" s="67" t="s">
        <v>2572</v>
      </c>
      <c r="E1013" s="138"/>
      <c r="F1013" s="138"/>
      <c r="G1013" s="69">
        <v>21.93</v>
      </c>
      <c r="H1013" s="35"/>
      <c r="I1013" s="39"/>
    </row>
    <row r="1014" spans="1:9" ht="12.25" customHeight="1" x14ac:dyDescent="0.3">
      <c r="A1014" s="4"/>
      <c r="B1014" s="13"/>
      <c r="C1014" s="13"/>
      <c r="D1014" s="67" t="s">
        <v>2573</v>
      </c>
      <c r="E1014" s="138"/>
      <c r="F1014" s="138"/>
      <c r="G1014" s="69">
        <v>35.07</v>
      </c>
      <c r="H1014" s="35"/>
      <c r="I1014" s="39"/>
    </row>
    <row r="1015" spans="1:9" ht="12.25" customHeight="1" x14ac:dyDescent="0.3">
      <c r="A1015" s="4"/>
      <c r="B1015" s="13"/>
      <c r="C1015" s="13"/>
      <c r="D1015" s="67" t="s">
        <v>2571</v>
      </c>
      <c r="E1015" s="138"/>
      <c r="F1015" s="138"/>
      <c r="G1015" s="69">
        <v>19.41</v>
      </c>
      <c r="H1015" s="35"/>
      <c r="I1015" s="39"/>
    </row>
    <row r="1016" spans="1:9" ht="12.25" customHeight="1" x14ac:dyDescent="0.3">
      <c r="A1016" s="4"/>
      <c r="B1016" s="13"/>
      <c r="C1016" s="13"/>
      <c r="D1016" s="67" t="s">
        <v>2570</v>
      </c>
      <c r="E1016" s="138"/>
      <c r="F1016" s="138"/>
      <c r="G1016" s="69">
        <v>32.49</v>
      </c>
      <c r="H1016" s="35"/>
      <c r="I1016" s="39"/>
    </row>
    <row r="1017" spans="1:9" ht="12.25" customHeight="1" x14ac:dyDescent="0.3">
      <c r="A1017" s="4"/>
      <c r="B1017" s="13"/>
      <c r="C1017" s="13"/>
      <c r="D1017" s="67" t="s">
        <v>2641</v>
      </c>
      <c r="E1017" s="138"/>
      <c r="F1017" s="138"/>
      <c r="G1017" s="69">
        <v>68.298450000000003</v>
      </c>
      <c r="H1017" s="35"/>
      <c r="I1017" s="39"/>
    </row>
    <row r="1018" spans="1:9" ht="12.25" customHeight="1" x14ac:dyDescent="0.3">
      <c r="A1018" s="4"/>
      <c r="B1018" s="13"/>
      <c r="C1018" s="13"/>
      <c r="D1018" s="67" t="s">
        <v>2642</v>
      </c>
      <c r="E1018" s="138"/>
      <c r="F1018" s="138"/>
      <c r="G1018" s="69">
        <v>206.2929</v>
      </c>
      <c r="H1018" s="35"/>
      <c r="I1018" s="39"/>
    </row>
    <row r="1019" spans="1:9" ht="12.25" customHeight="1" x14ac:dyDescent="0.3">
      <c r="A1019" s="4"/>
      <c r="B1019" s="13"/>
      <c r="C1019" s="13"/>
      <c r="D1019" s="67" t="s">
        <v>2643</v>
      </c>
      <c r="E1019" s="138"/>
      <c r="F1019" s="138"/>
      <c r="G1019" s="69">
        <v>40.692300000000003</v>
      </c>
      <c r="H1019" s="35"/>
      <c r="I1019" s="39"/>
    </row>
    <row r="1020" spans="1:9" ht="12.25" customHeight="1" x14ac:dyDescent="0.3">
      <c r="A1020" s="4"/>
      <c r="B1020" s="13"/>
      <c r="C1020" s="13"/>
      <c r="D1020" s="67" t="s">
        <v>2644</v>
      </c>
      <c r="E1020" s="138"/>
      <c r="F1020" s="138"/>
      <c r="G1020" s="69">
        <v>115.5792</v>
      </c>
      <c r="H1020" s="35"/>
      <c r="I1020" s="39"/>
    </row>
    <row r="1021" spans="1:9" ht="12.25" customHeight="1" x14ac:dyDescent="0.3">
      <c r="A1021" s="4"/>
      <c r="B1021" s="13"/>
      <c r="C1021" s="13"/>
      <c r="D1021" s="67" t="s">
        <v>2645</v>
      </c>
      <c r="E1021" s="138"/>
      <c r="F1021" s="138"/>
      <c r="G1021" s="69">
        <v>270.99765000000002</v>
      </c>
      <c r="H1021" s="35"/>
      <c r="I1021" s="39"/>
    </row>
    <row r="1022" spans="1:9" ht="12.25" customHeight="1" x14ac:dyDescent="0.3">
      <c r="A1022" s="4"/>
      <c r="B1022" s="13"/>
      <c r="C1022" s="13"/>
      <c r="D1022" s="67" t="s">
        <v>2646</v>
      </c>
      <c r="E1022" s="138"/>
      <c r="F1022" s="138"/>
      <c r="G1022" s="69">
        <v>143.40315000000001</v>
      </c>
      <c r="H1022" s="35"/>
      <c r="I1022" s="39"/>
    </row>
    <row r="1023" spans="1:9" ht="12.25" customHeight="1" x14ac:dyDescent="0.3">
      <c r="A1023" s="4"/>
      <c r="B1023" s="13"/>
      <c r="C1023" s="13"/>
      <c r="D1023" s="67" t="s">
        <v>2647</v>
      </c>
      <c r="E1023" s="138"/>
      <c r="F1023" s="138"/>
      <c r="G1023" s="69">
        <v>89.715450000000004</v>
      </c>
      <c r="H1023" s="35"/>
      <c r="I1023" s="39"/>
    </row>
    <row r="1024" spans="1:9" ht="12.25" customHeight="1" x14ac:dyDescent="0.3">
      <c r="A1024" s="4"/>
      <c r="B1024" s="13"/>
      <c r="C1024" s="13"/>
      <c r="D1024" s="67" t="s">
        <v>2648</v>
      </c>
      <c r="E1024" s="138"/>
      <c r="F1024" s="138"/>
      <c r="G1024" s="69">
        <v>153.3365</v>
      </c>
      <c r="H1024" s="35"/>
      <c r="I1024" s="39"/>
    </row>
    <row r="1025" spans="1:9" ht="12.25" customHeight="1" x14ac:dyDescent="0.3">
      <c r="A1025" s="4"/>
      <c r="B1025" s="13"/>
      <c r="C1025" s="13"/>
      <c r="D1025" s="67" t="s">
        <v>2649</v>
      </c>
      <c r="E1025" s="138"/>
      <c r="F1025" s="138"/>
      <c r="G1025" s="69">
        <v>204.09674999999999</v>
      </c>
      <c r="H1025" s="35"/>
      <c r="I1025" s="39"/>
    </row>
    <row r="1026" spans="1:9" ht="12.25" customHeight="1" x14ac:dyDescent="0.3">
      <c r="A1026" s="4"/>
      <c r="B1026" s="13"/>
      <c r="C1026" s="13"/>
      <c r="D1026" s="67" t="s">
        <v>2650</v>
      </c>
      <c r="E1026" s="138"/>
      <c r="F1026" s="138"/>
      <c r="G1026" s="69">
        <v>21.562200000000001</v>
      </c>
      <c r="H1026" s="35"/>
      <c r="I1026" s="39"/>
    </row>
    <row r="1027" spans="1:9" ht="12.25" customHeight="1" x14ac:dyDescent="0.3">
      <c r="A1027" s="4"/>
      <c r="B1027" s="13"/>
      <c r="C1027" s="13"/>
      <c r="D1027" s="67" t="s">
        <v>2651</v>
      </c>
      <c r="E1027" s="138"/>
      <c r="F1027" s="138"/>
      <c r="G1027" s="69">
        <v>106.503</v>
      </c>
      <c r="H1027" s="35"/>
      <c r="I1027" s="39"/>
    </row>
    <row r="1028" spans="1:9" ht="12.25" customHeight="1" x14ac:dyDescent="0.3">
      <c r="A1028" s="4"/>
      <c r="B1028" s="13"/>
      <c r="C1028" s="13"/>
      <c r="D1028" s="67" t="s">
        <v>2652</v>
      </c>
      <c r="E1028" s="138"/>
      <c r="F1028" s="138"/>
      <c r="G1028" s="69">
        <v>65.254000000000005</v>
      </c>
      <c r="H1028" s="35"/>
      <c r="I1028" s="39"/>
    </row>
    <row r="1029" spans="1:9" x14ac:dyDescent="0.3">
      <c r="A1029" s="66"/>
      <c r="B1029" s="14"/>
      <c r="C1029" s="14" t="s">
        <v>790</v>
      </c>
      <c r="D1029" s="103" t="s">
        <v>2085</v>
      </c>
      <c r="E1029" s="104"/>
      <c r="F1029" s="14"/>
      <c r="G1029" s="31"/>
      <c r="H1029" s="36"/>
      <c r="I1029" s="39"/>
    </row>
    <row r="1030" spans="1:9" x14ac:dyDescent="0.3">
      <c r="A1030" s="6" t="s">
        <v>669</v>
      </c>
      <c r="B1030" s="15"/>
      <c r="C1030" s="15" t="s">
        <v>1119</v>
      </c>
      <c r="D1030" s="107" t="s">
        <v>2086</v>
      </c>
      <c r="E1030" s="108"/>
      <c r="F1030" s="15" t="s">
        <v>2391</v>
      </c>
      <c r="G1030" s="22">
        <v>6</v>
      </c>
      <c r="H1030" s="73">
        <v>0</v>
      </c>
      <c r="I1030" s="39"/>
    </row>
    <row r="1031" spans="1:9" ht="12.25" customHeight="1" x14ac:dyDescent="0.3">
      <c r="A1031" s="6"/>
      <c r="B1031" s="15"/>
      <c r="C1031" s="15"/>
      <c r="D1031" s="67" t="s">
        <v>12</v>
      </c>
      <c r="E1031" s="138"/>
      <c r="F1031" s="138"/>
      <c r="G1031" s="70">
        <v>6</v>
      </c>
      <c r="H1031" s="37"/>
      <c r="I1031" s="39"/>
    </row>
    <row r="1032" spans="1:9" x14ac:dyDescent="0.3">
      <c r="A1032" s="6" t="s">
        <v>670</v>
      </c>
      <c r="B1032" s="15"/>
      <c r="C1032" s="15" t="s">
        <v>1119</v>
      </c>
      <c r="D1032" s="107" t="s">
        <v>2087</v>
      </c>
      <c r="E1032" s="108"/>
      <c r="F1032" s="15" t="s">
        <v>2391</v>
      </c>
      <c r="G1032" s="22">
        <v>3</v>
      </c>
      <c r="H1032" s="73">
        <v>0</v>
      </c>
      <c r="I1032" s="39"/>
    </row>
    <row r="1033" spans="1:9" ht="12.25" customHeight="1" x14ac:dyDescent="0.3">
      <c r="A1033" s="6"/>
      <c r="B1033" s="15"/>
      <c r="C1033" s="15"/>
      <c r="D1033" s="67" t="s">
        <v>9</v>
      </c>
      <c r="E1033" s="138"/>
      <c r="F1033" s="138"/>
      <c r="G1033" s="70">
        <v>3</v>
      </c>
      <c r="H1033" s="37"/>
      <c r="I1033" s="39"/>
    </row>
    <row r="1034" spans="1:9" x14ac:dyDescent="0.3">
      <c r="A1034" s="6" t="s">
        <v>671</v>
      </c>
      <c r="B1034" s="15"/>
      <c r="C1034" s="15" t="s">
        <v>1292</v>
      </c>
      <c r="D1034" s="107" t="s">
        <v>2088</v>
      </c>
      <c r="E1034" s="108"/>
      <c r="F1034" s="15" t="s">
        <v>2391</v>
      </c>
      <c r="G1034" s="22">
        <v>8</v>
      </c>
      <c r="H1034" s="73">
        <v>0</v>
      </c>
      <c r="I1034" s="39"/>
    </row>
    <row r="1035" spans="1:9" ht="12.25" customHeight="1" x14ac:dyDescent="0.3">
      <c r="A1035" s="6"/>
      <c r="B1035" s="15"/>
      <c r="C1035" s="15"/>
      <c r="D1035" s="67" t="s">
        <v>14</v>
      </c>
      <c r="E1035" s="138"/>
      <c r="F1035" s="138"/>
      <c r="G1035" s="70">
        <v>8</v>
      </c>
      <c r="H1035" s="37"/>
      <c r="I1035" s="39"/>
    </row>
    <row r="1036" spans="1:9" x14ac:dyDescent="0.3">
      <c r="A1036" s="6" t="s">
        <v>672</v>
      </c>
      <c r="B1036" s="15"/>
      <c r="C1036" s="15" t="s">
        <v>1293</v>
      </c>
      <c r="D1036" s="107" t="s">
        <v>2089</v>
      </c>
      <c r="E1036" s="108"/>
      <c r="F1036" s="15" t="s">
        <v>2391</v>
      </c>
      <c r="G1036" s="22">
        <v>9</v>
      </c>
      <c r="H1036" s="73">
        <v>0</v>
      </c>
      <c r="I1036" s="39"/>
    </row>
    <row r="1037" spans="1:9" ht="12.25" customHeight="1" x14ac:dyDescent="0.3">
      <c r="A1037" s="6"/>
      <c r="B1037" s="15"/>
      <c r="C1037" s="15"/>
      <c r="D1037" s="67" t="s">
        <v>15</v>
      </c>
      <c r="E1037" s="138"/>
      <c r="F1037" s="138"/>
      <c r="G1037" s="70">
        <v>9</v>
      </c>
      <c r="H1037" s="37"/>
      <c r="I1037" s="39"/>
    </row>
    <row r="1038" spans="1:9" x14ac:dyDescent="0.3">
      <c r="A1038" s="6" t="s">
        <v>673</v>
      </c>
      <c r="B1038" s="15"/>
      <c r="C1038" s="15" t="s">
        <v>1293</v>
      </c>
      <c r="D1038" s="107" t="s">
        <v>2090</v>
      </c>
      <c r="E1038" s="108"/>
      <c r="F1038" s="15" t="s">
        <v>2391</v>
      </c>
      <c r="G1038" s="22">
        <v>7</v>
      </c>
      <c r="H1038" s="73">
        <v>0</v>
      </c>
      <c r="I1038" s="39"/>
    </row>
    <row r="1039" spans="1:9" ht="12.25" customHeight="1" x14ac:dyDescent="0.3">
      <c r="A1039" s="6"/>
      <c r="B1039" s="15"/>
      <c r="C1039" s="15"/>
      <c r="D1039" s="67" t="s">
        <v>13</v>
      </c>
      <c r="E1039" s="138"/>
      <c r="F1039" s="138"/>
      <c r="G1039" s="70">
        <v>7</v>
      </c>
      <c r="H1039" s="37"/>
      <c r="I1039" s="39"/>
    </row>
    <row r="1040" spans="1:9" x14ac:dyDescent="0.3">
      <c r="A1040" s="6" t="s">
        <v>674</v>
      </c>
      <c r="B1040" s="15"/>
      <c r="C1040" s="15" t="s">
        <v>1293</v>
      </c>
      <c r="D1040" s="107" t="s">
        <v>2091</v>
      </c>
      <c r="E1040" s="108"/>
      <c r="F1040" s="15" t="s">
        <v>2391</v>
      </c>
      <c r="G1040" s="22">
        <v>2</v>
      </c>
      <c r="H1040" s="73">
        <v>0</v>
      </c>
      <c r="I1040" s="39"/>
    </row>
    <row r="1041" spans="1:9" ht="12.25" customHeight="1" x14ac:dyDescent="0.3">
      <c r="A1041" s="6"/>
      <c r="B1041" s="15"/>
      <c r="C1041" s="15"/>
      <c r="D1041" s="67" t="s">
        <v>8</v>
      </c>
      <c r="E1041" s="138"/>
      <c r="F1041" s="138"/>
      <c r="G1041" s="70">
        <v>2</v>
      </c>
      <c r="H1041" s="37"/>
      <c r="I1041" s="39"/>
    </row>
    <row r="1042" spans="1:9" x14ac:dyDescent="0.3">
      <c r="A1042" s="6" t="s">
        <v>675</v>
      </c>
      <c r="B1042" s="15"/>
      <c r="C1042" s="15" t="s">
        <v>1294</v>
      </c>
      <c r="D1042" s="107" t="s">
        <v>2092</v>
      </c>
      <c r="E1042" s="108"/>
      <c r="F1042" s="15" t="s">
        <v>2391</v>
      </c>
      <c r="G1042" s="22">
        <v>2</v>
      </c>
      <c r="H1042" s="73">
        <v>0</v>
      </c>
      <c r="I1042" s="39"/>
    </row>
    <row r="1043" spans="1:9" ht="12.25" customHeight="1" x14ac:dyDescent="0.3">
      <c r="A1043" s="6"/>
      <c r="B1043" s="15"/>
      <c r="C1043" s="15"/>
      <c r="D1043" s="67" t="s">
        <v>8</v>
      </c>
      <c r="E1043" s="138"/>
      <c r="F1043" s="138"/>
      <c r="G1043" s="70">
        <v>2</v>
      </c>
      <c r="H1043" s="37"/>
      <c r="I1043" s="39"/>
    </row>
    <row r="1044" spans="1:9" x14ac:dyDescent="0.3">
      <c r="A1044" s="6" t="s">
        <v>676</v>
      </c>
      <c r="B1044" s="15"/>
      <c r="C1044" s="15" t="s">
        <v>1295</v>
      </c>
      <c r="D1044" s="107" t="s">
        <v>2093</v>
      </c>
      <c r="E1044" s="108"/>
      <c r="F1044" s="15" t="s">
        <v>2391</v>
      </c>
      <c r="G1044" s="22">
        <v>15</v>
      </c>
      <c r="H1044" s="73">
        <v>0</v>
      </c>
      <c r="I1044" s="39"/>
    </row>
    <row r="1045" spans="1:9" ht="12.25" customHeight="1" x14ac:dyDescent="0.3">
      <c r="A1045" s="6"/>
      <c r="B1045" s="15"/>
      <c r="C1045" s="15"/>
      <c r="D1045" s="67" t="s">
        <v>2653</v>
      </c>
      <c r="E1045" s="138"/>
      <c r="F1045" s="138"/>
      <c r="G1045" s="70">
        <v>15</v>
      </c>
      <c r="H1045" s="37"/>
      <c r="I1045" s="39"/>
    </row>
    <row r="1046" spans="1:9" x14ac:dyDescent="0.3">
      <c r="A1046" s="6" t="s">
        <v>677</v>
      </c>
      <c r="B1046" s="15"/>
      <c r="C1046" s="15" t="s">
        <v>1295</v>
      </c>
      <c r="D1046" s="107" t="s">
        <v>2094</v>
      </c>
      <c r="E1046" s="108"/>
      <c r="F1046" s="15" t="s">
        <v>2391</v>
      </c>
      <c r="G1046" s="22">
        <v>2</v>
      </c>
      <c r="H1046" s="73">
        <v>0</v>
      </c>
      <c r="I1046" s="39"/>
    </row>
    <row r="1047" spans="1:9" ht="12.25" customHeight="1" x14ac:dyDescent="0.3">
      <c r="A1047" s="6"/>
      <c r="B1047" s="15"/>
      <c r="C1047" s="15"/>
      <c r="D1047" s="67" t="s">
        <v>8</v>
      </c>
      <c r="E1047" s="138"/>
      <c r="F1047" s="138"/>
      <c r="G1047" s="70">
        <v>2</v>
      </c>
      <c r="H1047" s="37"/>
      <c r="I1047" s="39"/>
    </row>
    <row r="1048" spans="1:9" x14ac:dyDescent="0.3">
      <c r="A1048" s="6" t="s">
        <v>678</v>
      </c>
      <c r="B1048" s="15"/>
      <c r="C1048" s="15" t="s">
        <v>1295</v>
      </c>
      <c r="D1048" s="107" t="s">
        <v>2095</v>
      </c>
      <c r="E1048" s="108"/>
      <c r="F1048" s="15" t="s">
        <v>2391</v>
      </c>
      <c r="G1048" s="22">
        <v>5</v>
      </c>
      <c r="H1048" s="73">
        <v>0</v>
      </c>
      <c r="I1048" s="39"/>
    </row>
    <row r="1049" spans="1:9" ht="12.25" customHeight="1" x14ac:dyDescent="0.3">
      <c r="A1049" s="6"/>
      <c r="B1049" s="15"/>
      <c r="C1049" s="15"/>
      <c r="D1049" s="67" t="s">
        <v>11</v>
      </c>
      <c r="E1049" s="138"/>
      <c r="F1049" s="138"/>
      <c r="G1049" s="70">
        <v>5</v>
      </c>
      <c r="H1049" s="37"/>
      <c r="I1049" s="39"/>
    </row>
    <row r="1050" spans="1:9" x14ac:dyDescent="0.3">
      <c r="A1050" s="6" t="s">
        <v>679</v>
      </c>
      <c r="B1050" s="15"/>
      <c r="C1050" s="15" t="s">
        <v>1296</v>
      </c>
      <c r="D1050" s="107" t="s">
        <v>2096</v>
      </c>
      <c r="E1050" s="108"/>
      <c r="F1050" s="15" t="s">
        <v>2391</v>
      </c>
      <c r="G1050" s="22">
        <v>6</v>
      </c>
      <c r="H1050" s="73">
        <v>0</v>
      </c>
      <c r="I1050" s="39"/>
    </row>
    <row r="1051" spans="1:9" ht="12.25" customHeight="1" x14ac:dyDescent="0.3">
      <c r="A1051" s="6"/>
      <c r="B1051" s="15"/>
      <c r="C1051" s="15"/>
      <c r="D1051" s="67" t="s">
        <v>12</v>
      </c>
      <c r="E1051" s="138"/>
      <c r="F1051" s="138"/>
      <c r="G1051" s="70">
        <v>6</v>
      </c>
      <c r="H1051" s="37"/>
      <c r="I1051" s="39"/>
    </row>
    <row r="1052" spans="1:9" x14ac:dyDescent="0.3">
      <c r="A1052" s="6" t="s">
        <v>680</v>
      </c>
      <c r="B1052" s="15"/>
      <c r="C1052" s="15" t="s">
        <v>1297</v>
      </c>
      <c r="D1052" s="107" t="s">
        <v>2097</v>
      </c>
      <c r="E1052" s="108"/>
      <c r="F1052" s="15" t="s">
        <v>2391</v>
      </c>
      <c r="G1052" s="22">
        <v>12</v>
      </c>
      <c r="H1052" s="73">
        <v>0</v>
      </c>
      <c r="I1052" s="39"/>
    </row>
    <row r="1053" spans="1:9" ht="12.25" customHeight="1" x14ac:dyDescent="0.3">
      <c r="A1053" s="6"/>
      <c r="B1053" s="15"/>
      <c r="C1053" s="15"/>
      <c r="D1053" s="67" t="s">
        <v>18</v>
      </c>
      <c r="E1053" s="138"/>
      <c r="F1053" s="138"/>
      <c r="G1053" s="70">
        <v>12</v>
      </c>
      <c r="H1053" s="37"/>
      <c r="I1053" s="39"/>
    </row>
    <row r="1054" spans="1:9" x14ac:dyDescent="0.3">
      <c r="A1054" s="6" t="s">
        <v>681</v>
      </c>
      <c r="B1054" s="15"/>
      <c r="C1054" s="15" t="s">
        <v>1298</v>
      </c>
      <c r="D1054" s="107" t="s">
        <v>2098</v>
      </c>
      <c r="E1054" s="108"/>
      <c r="F1054" s="15" t="s">
        <v>2391</v>
      </c>
      <c r="G1054" s="22">
        <v>1</v>
      </c>
      <c r="H1054" s="73">
        <v>0</v>
      </c>
      <c r="I1054" s="39"/>
    </row>
    <row r="1055" spans="1:9" ht="12.25" customHeight="1" x14ac:dyDescent="0.3">
      <c r="A1055" s="6"/>
      <c r="B1055" s="15"/>
      <c r="C1055" s="15"/>
      <c r="D1055" s="67" t="s">
        <v>7</v>
      </c>
      <c r="E1055" s="138"/>
      <c r="F1055" s="138"/>
      <c r="G1055" s="70">
        <v>1</v>
      </c>
      <c r="H1055" s="37"/>
      <c r="I1055" s="39"/>
    </row>
    <row r="1056" spans="1:9" x14ac:dyDescent="0.3">
      <c r="A1056" s="6" t="s">
        <v>682</v>
      </c>
      <c r="B1056" s="15"/>
      <c r="C1056" s="15" t="s">
        <v>1299</v>
      </c>
      <c r="D1056" s="107" t="s">
        <v>2099</v>
      </c>
      <c r="E1056" s="108"/>
      <c r="F1056" s="15" t="s">
        <v>2385</v>
      </c>
      <c r="G1056" s="22">
        <v>46.2</v>
      </c>
      <c r="H1056" s="73">
        <v>0</v>
      </c>
      <c r="I1056" s="39"/>
    </row>
    <row r="1057" spans="1:9" ht="12.25" customHeight="1" x14ac:dyDescent="0.3">
      <c r="A1057" s="6"/>
      <c r="B1057" s="15"/>
      <c r="C1057" s="15"/>
      <c r="D1057" s="67" t="s">
        <v>2654</v>
      </c>
      <c r="E1057" s="138"/>
      <c r="F1057" s="138"/>
      <c r="G1057" s="70">
        <v>46.2</v>
      </c>
      <c r="H1057" s="37"/>
      <c r="I1057" s="39"/>
    </row>
    <row r="1058" spans="1:9" x14ac:dyDescent="0.3">
      <c r="A1058" s="6" t="s">
        <v>683</v>
      </c>
      <c r="B1058" s="15"/>
      <c r="C1058" s="15" t="s">
        <v>1300</v>
      </c>
      <c r="D1058" s="107" t="s">
        <v>2100</v>
      </c>
      <c r="E1058" s="108"/>
      <c r="F1058" s="15" t="s">
        <v>2385</v>
      </c>
      <c r="G1058" s="22">
        <v>7</v>
      </c>
      <c r="H1058" s="73">
        <v>0</v>
      </c>
      <c r="I1058" s="39"/>
    </row>
    <row r="1059" spans="1:9" ht="12.25" customHeight="1" x14ac:dyDescent="0.3">
      <c r="A1059" s="6"/>
      <c r="B1059" s="15"/>
      <c r="C1059" s="15"/>
      <c r="D1059" s="67" t="s">
        <v>2655</v>
      </c>
      <c r="E1059" s="138"/>
      <c r="F1059" s="138"/>
      <c r="G1059" s="70">
        <v>7</v>
      </c>
      <c r="H1059" s="37"/>
      <c r="I1059" s="39"/>
    </row>
    <row r="1060" spans="1:9" x14ac:dyDescent="0.3">
      <c r="A1060" s="6" t="s">
        <v>684</v>
      </c>
      <c r="B1060" s="15"/>
      <c r="C1060" s="15" t="s">
        <v>1301</v>
      </c>
      <c r="D1060" s="107" t="s">
        <v>2101</v>
      </c>
      <c r="E1060" s="108"/>
      <c r="F1060" s="15" t="s">
        <v>2385</v>
      </c>
      <c r="G1060" s="22">
        <v>6</v>
      </c>
      <c r="H1060" s="73">
        <v>0</v>
      </c>
      <c r="I1060" s="39"/>
    </row>
    <row r="1061" spans="1:9" ht="12.25" customHeight="1" x14ac:dyDescent="0.3">
      <c r="A1061" s="6"/>
      <c r="B1061" s="15"/>
      <c r="C1061" s="15"/>
      <c r="D1061" s="67" t="s">
        <v>12</v>
      </c>
      <c r="E1061" s="138"/>
      <c r="F1061" s="138"/>
      <c r="G1061" s="70">
        <v>6</v>
      </c>
      <c r="H1061" s="37"/>
      <c r="I1061" s="39"/>
    </row>
    <row r="1062" spans="1:9" x14ac:dyDescent="0.3">
      <c r="A1062" s="6" t="s">
        <v>685</v>
      </c>
      <c r="B1062" s="15"/>
      <c r="C1062" s="15" t="s">
        <v>1296</v>
      </c>
      <c r="D1062" s="107" t="s">
        <v>2102</v>
      </c>
      <c r="E1062" s="108"/>
      <c r="F1062" s="15" t="s">
        <v>2385</v>
      </c>
      <c r="G1062" s="22">
        <v>74.900000000000006</v>
      </c>
      <c r="H1062" s="73">
        <v>0</v>
      </c>
      <c r="I1062" s="39"/>
    </row>
    <row r="1063" spans="1:9" ht="12.25" customHeight="1" x14ac:dyDescent="0.3">
      <c r="A1063" s="6"/>
      <c r="B1063" s="15"/>
      <c r="C1063" s="15"/>
      <c r="D1063" s="67" t="s">
        <v>2656</v>
      </c>
      <c r="E1063" s="138"/>
      <c r="F1063" s="138"/>
      <c r="G1063" s="70">
        <v>74.900000000000006</v>
      </c>
      <c r="H1063" s="37"/>
      <c r="I1063" s="39"/>
    </row>
    <row r="1064" spans="1:9" x14ac:dyDescent="0.3">
      <c r="A1064" s="4" t="s">
        <v>686</v>
      </c>
      <c r="B1064" s="13"/>
      <c r="C1064" s="13" t="s">
        <v>1302</v>
      </c>
      <c r="D1064" s="101" t="s">
        <v>2103</v>
      </c>
      <c r="E1064" s="102"/>
      <c r="F1064" s="13" t="s">
        <v>2390</v>
      </c>
      <c r="G1064" s="21">
        <v>1</v>
      </c>
      <c r="H1064" s="72">
        <v>0</v>
      </c>
      <c r="I1064" s="39"/>
    </row>
    <row r="1065" spans="1:9" ht="12.25" customHeight="1" x14ac:dyDescent="0.3">
      <c r="A1065" s="4"/>
      <c r="B1065" s="13"/>
      <c r="C1065" s="13"/>
      <c r="D1065" s="67" t="s">
        <v>7</v>
      </c>
      <c r="E1065" s="138"/>
      <c r="F1065" s="138"/>
      <c r="G1065" s="69">
        <v>1</v>
      </c>
      <c r="H1065" s="35"/>
      <c r="I1065" s="39"/>
    </row>
    <row r="1066" spans="1:9" x14ac:dyDescent="0.3">
      <c r="A1066" s="66"/>
      <c r="B1066" s="14"/>
      <c r="C1066" s="14" t="s">
        <v>791</v>
      </c>
      <c r="D1066" s="103" t="s">
        <v>2104</v>
      </c>
      <c r="E1066" s="104"/>
      <c r="F1066" s="14"/>
      <c r="G1066" s="31"/>
      <c r="H1066" s="36"/>
      <c r="I1066" s="39"/>
    </row>
    <row r="1067" spans="1:9" x14ac:dyDescent="0.3">
      <c r="A1067" s="6" t="s">
        <v>687</v>
      </c>
      <c r="B1067" s="15"/>
      <c r="C1067" s="15" t="s">
        <v>1303</v>
      </c>
      <c r="D1067" s="107" t="s">
        <v>2105</v>
      </c>
      <c r="E1067" s="108"/>
      <c r="F1067" s="15" t="s">
        <v>2391</v>
      </c>
      <c r="G1067" s="22">
        <v>1</v>
      </c>
      <c r="H1067" s="73">
        <v>0</v>
      </c>
      <c r="I1067" s="39"/>
    </row>
    <row r="1068" spans="1:9" ht="12.25" customHeight="1" x14ac:dyDescent="0.3">
      <c r="A1068" s="6"/>
      <c r="B1068" s="15"/>
      <c r="C1068" s="15"/>
      <c r="D1068" s="67" t="s">
        <v>7</v>
      </c>
      <c r="E1068" s="138"/>
      <c r="F1068" s="138"/>
      <c r="G1068" s="70">
        <v>1</v>
      </c>
      <c r="H1068" s="37"/>
      <c r="I1068" s="39"/>
    </row>
    <row r="1069" spans="1:9" x14ac:dyDescent="0.3">
      <c r="A1069" s="6" t="s">
        <v>688</v>
      </c>
      <c r="B1069" s="15"/>
      <c r="C1069" s="15" t="s">
        <v>1303</v>
      </c>
      <c r="D1069" s="107" t="s">
        <v>2106</v>
      </c>
      <c r="E1069" s="108"/>
      <c r="F1069" s="15" t="s">
        <v>2391</v>
      </c>
      <c r="G1069" s="22">
        <v>1</v>
      </c>
      <c r="H1069" s="73">
        <v>0</v>
      </c>
      <c r="I1069" s="39"/>
    </row>
    <row r="1070" spans="1:9" ht="12.25" customHeight="1" x14ac:dyDescent="0.3">
      <c r="A1070" s="6"/>
      <c r="B1070" s="15"/>
      <c r="C1070" s="15"/>
      <c r="D1070" s="67" t="s">
        <v>7</v>
      </c>
      <c r="E1070" s="138"/>
      <c r="F1070" s="138"/>
      <c r="G1070" s="70">
        <v>1</v>
      </c>
      <c r="H1070" s="37"/>
      <c r="I1070" s="39"/>
    </row>
    <row r="1071" spans="1:9" x14ac:dyDescent="0.3">
      <c r="A1071" s="6" t="s">
        <v>689</v>
      </c>
      <c r="B1071" s="15"/>
      <c r="C1071" s="15" t="s">
        <v>1304</v>
      </c>
      <c r="D1071" s="107" t="s">
        <v>2107</v>
      </c>
      <c r="E1071" s="108"/>
      <c r="F1071" s="15" t="s">
        <v>2391</v>
      </c>
      <c r="G1071" s="22">
        <v>2</v>
      </c>
      <c r="H1071" s="73">
        <v>0</v>
      </c>
      <c r="I1071" s="39"/>
    </row>
    <row r="1072" spans="1:9" ht="12.25" customHeight="1" x14ac:dyDescent="0.3">
      <c r="A1072" s="6"/>
      <c r="B1072" s="15"/>
      <c r="C1072" s="15"/>
      <c r="D1072" s="67" t="s">
        <v>8</v>
      </c>
      <c r="E1072" s="138"/>
      <c r="F1072" s="138"/>
      <c r="G1072" s="70">
        <v>2</v>
      </c>
      <c r="H1072" s="37"/>
      <c r="I1072" s="39"/>
    </row>
    <row r="1073" spans="1:9" x14ac:dyDescent="0.3">
      <c r="A1073" s="6" t="s">
        <v>690</v>
      </c>
      <c r="B1073" s="15"/>
      <c r="C1073" s="15" t="s">
        <v>1304</v>
      </c>
      <c r="D1073" s="107" t="s">
        <v>2108</v>
      </c>
      <c r="E1073" s="108"/>
      <c r="F1073" s="15" t="s">
        <v>2391</v>
      </c>
      <c r="G1073" s="22">
        <v>4</v>
      </c>
      <c r="H1073" s="73">
        <v>0</v>
      </c>
      <c r="I1073" s="39"/>
    </row>
    <row r="1074" spans="1:9" ht="12.25" customHeight="1" x14ac:dyDescent="0.3">
      <c r="A1074" s="6"/>
      <c r="B1074" s="15"/>
      <c r="C1074" s="15"/>
      <c r="D1074" s="67" t="s">
        <v>10</v>
      </c>
      <c r="E1074" s="138"/>
      <c r="F1074" s="138"/>
      <c r="G1074" s="70">
        <v>4</v>
      </c>
      <c r="H1074" s="37"/>
      <c r="I1074" s="39"/>
    </row>
    <row r="1075" spans="1:9" x14ac:dyDescent="0.3">
      <c r="A1075" s="6" t="s">
        <v>691</v>
      </c>
      <c r="B1075" s="15"/>
      <c r="C1075" s="15" t="s">
        <v>1303</v>
      </c>
      <c r="D1075" s="107" t="s">
        <v>2109</v>
      </c>
      <c r="E1075" s="108"/>
      <c r="F1075" s="15" t="s">
        <v>2391</v>
      </c>
      <c r="G1075" s="22">
        <v>3</v>
      </c>
      <c r="H1075" s="73">
        <v>0</v>
      </c>
      <c r="I1075" s="39"/>
    </row>
    <row r="1076" spans="1:9" ht="12.25" customHeight="1" x14ac:dyDescent="0.3">
      <c r="A1076" s="6"/>
      <c r="B1076" s="15"/>
      <c r="C1076" s="15"/>
      <c r="D1076" s="67" t="s">
        <v>9</v>
      </c>
      <c r="E1076" s="138"/>
      <c r="F1076" s="138"/>
      <c r="G1076" s="70">
        <v>3</v>
      </c>
      <c r="H1076" s="37"/>
      <c r="I1076" s="39"/>
    </row>
    <row r="1077" spans="1:9" x14ac:dyDescent="0.3">
      <c r="A1077" s="6" t="s">
        <v>692</v>
      </c>
      <c r="B1077" s="15"/>
      <c r="C1077" s="15" t="s">
        <v>1305</v>
      </c>
      <c r="D1077" s="107" t="s">
        <v>2110</v>
      </c>
      <c r="E1077" s="108"/>
      <c r="F1077" s="15" t="s">
        <v>2391</v>
      </c>
      <c r="G1077" s="22">
        <v>3</v>
      </c>
      <c r="H1077" s="73">
        <v>0</v>
      </c>
      <c r="I1077" s="39"/>
    </row>
    <row r="1078" spans="1:9" ht="12.25" customHeight="1" x14ac:dyDescent="0.3">
      <c r="A1078" s="6"/>
      <c r="B1078" s="15"/>
      <c r="C1078" s="15"/>
      <c r="D1078" s="67" t="s">
        <v>9</v>
      </c>
      <c r="E1078" s="138"/>
      <c r="F1078" s="138"/>
      <c r="G1078" s="70">
        <v>3</v>
      </c>
      <c r="H1078" s="37"/>
      <c r="I1078" s="39"/>
    </row>
    <row r="1079" spans="1:9" x14ac:dyDescent="0.3">
      <c r="A1079" s="6" t="s">
        <v>693</v>
      </c>
      <c r="B1079" s="15"/>
      <c r="C1079" s="15" t="s">
        <v>1306</v>
      </c>
      <c r="D1079" s="107" t="s">
        <v>2111</v>
      </c>
      <c r="E1079" s="108"/>
      <c r="F1079" s="15" t="s">
        <v>2391</v>
      </c>
      <c r="G1079" s="22">
        <v>4</v>
      </c>
      <c r="H1079" s="73">
        <v>0</v>
      </c>
      <c r="I1079" s="39"/>
    </row>
    <row r="1080" spans="1:9" ht="12.25" customHeight="1" x14ac:dyDescent="0.3">
      <c r="A1080" s="6"/>
      <c r="B1080" s="15"/>
      <c r="C1080" s="15"/>
      <c r="D1080" s="67" t="s">
        <v>10</v>
      </c>
      <c r="E1080" s="138"/>
      <c r="F1080" s="138"/>
      <c r="G1080" s="70">
        <v>4</v>
      </c>
      <c r="H1080" s="37"/>
      <c r="I1080" s="39"/>
    </row>
    <row r="1081" spans="1:9" x14ac:dyDescent="0.3">
      <c r="A1081" s="6" t="s">
        <v>694</v>
      </c>
      <c r="B1081" s="15"/>
      <c r="C1081" s="15" t="s">
        <v>1306</v>
      </c>
      <c r="D1081" s="107" t="s">
        <v>2112</v>
      </c>
      <c r="E1081" s="108"/>
      <c r="F1081" s="15" t="s">
        <v>2391</v>
      </c>
      <c r="G1081" s="22">
        <v>2</v>
      </c>
      <c r="H1081" s="73">
        <v>0</v>
      </c>
      <c r="I1081" s="39"/>
    </row>
    <row r="1082" spans="1:9" ht="12.25" customHeight="1" x14ac:dyDescent="0.3">
      <c r="A1082" s="6"/>
      <c r="B1082" s="15"/>
      <c r="C1082" s="15"/>
      <c r="D1082" s="67" t="s">
        <v>8</v>
      </c>
      <c r="E1082" s="138"/>
      <c r="F1082" s="138"/>
      <c r="G1082" s="70">
        <v>2</v>
      </c>
      <c r="H1082" s="37"/>
      <c r="I1082" s="39"/>
    </row>
    <row r="1083" spans="1:9" x14ac:dyDescent="0.3">
      <c r="A1083" s="6" t="s">
        <v>695</v>
      </c>
      <c r="B1083" s="15"/>
      <c r="C1083" s="15" t="s">
        <v>1307</v>
      </c>
      <c r="D1083" s="107" t="s">
        <v>2113</v>
      </c>
      <c r="E1083" s="108"/>
      <c r="F1083" s="15" t="s">
        <v>2391</v>
      </c>
      <c r="G1083" s="22">
        <v>3</v>
      </c>
      <c r="H1083" s="73">
        <v>0</v>
      </c>
      <c r="I1083" s="39"/>
    </row>
    <row r="1084" spans="1:9" ht="12.25" customHeight="1" x14ac:dyDescent="0.3">
      <c r="A1084" s="6"/>
      <c r="B1084" s="15"/>
      <c r="C1084" s="15"/>
      <c r="D1084" s="67" t="s">
        <v>9</v>
      </c>
      <c r="E1084" s="138"/>
      <c r="F1084" s="138"/>
      <c r="G1084" s="70">
        <v>3</v>
      </c>
      <c r="H1084" s="37"/>
      <c r="I1084" s="39"/>
    </row>
    <row r="1085" spans="1:9" x14ac:dyDescent="0.3">
      <c r="A1085" s="6" t="s">
        <v>696</v>
      </c>
      <c r="B1085" s="15"/>
      <c r="C1085" s="15" t="s">
        <v>1308</v>
      </c>
      <c r="D1085" s="107" t="s">
        <v>2114</v>
      </c>
      <c r="E1085" s="108"/>
      <c r="F1085" s="15" t="s">
        <v>2391</v>
      </c>
      <c r="G1085" s="22">
        <v>3</v>
      </c>
      <c r="H1085" s="73">
        <v>0</v>
      </c>
      <c r="I1085" s="39"/>
    </row>
    <row r="1086" spans="1:9" ht="12.25" customHeight="1" x14ac:dyDescent="0.3">
      <c r="A1086" s="6"/>
      <c r="B1086" s="15"/>
      <c r="C1086" s="15"/>
      <c r="D1086" s="67" t="s">
        <v>9</v>
      </c>
      <c r="E1086" s="138"/>
      <c r="F1086" s="138"/>
      <c r="G1086" s="70">
        <v>3</v>
      </c>
      <c r="H1086" s="37"/>
      <c r="I1086" s="39"/>
    </row>
    <row r="1087" spans="1:9" x14ac:dyDescent="0.3">
      <c r="A1087" s="4" t="s">
        <v>697</v>
      </c>
      <c r="B1087" s="13"/>
      <c r="C1087" s="13" t="s">
        <v>1309</v>
      </c>
      <c r="D1087" s="101" t="s">
        <v>2115</v>
      </c>
      <c r="E1087" s="102"/>
      <c r="F1087" s="13" t="s">
        <v>2390</v>
      </c>
      <c r="G1087" s="21">
        <v>1</v>
      </c>
      <c r="H1087" s="72">
        <v>0</v>
      </c>
      <c r="I1087" s="39"/>
    </row>
    <row r="1088" spans="1:9" ht="12.25" customHeight="1" x14ac:dyDescent="0.3">
      <c r="A1088" s="4"/>
      <c r="B1088" s="13"/>
      <c r="C1088" s="13"/>
      <c r="D1088" s="67" t="s">
        <v>7</v>
      </c>
      <c r="E1088" s="138"/>
      <c r="F1088" s="138"/>
      <c r="G1088" s="69">
        <v>1</v>
      </c>
      <c r="H1088" s="35"/>
      <c r="I1088" s="39"/>
    </row>
    <row r="1089" spans="1:9" x14ac:dyDescent="0.3">
      <c r="A1089" s="66"/>
      <c r="B1089" s="14"/>
      <c r="C1089" s="14" t="s">
        <v>100</v>
      </c>
      <c r="D1089" s="103" t="s">
        <v>2116</v>
      </c>
      <c r="E1089" s="104"/>
      <c r="F1089" s="14"/>
      <c r="G1089" s="31"/>
      <c r="H1089" s="36"/>
      <c r="I1089" s="39"/>
    </row>
    <row r="1090" spans="1:9" x14ac:dyDescent="0.3">
      <c r="A1090" s="4" t="s">
        <v>698</v>
      </c>
      <c r="B1090" s="13"/>
      <c r="C1090" s="13" t="s">
        <v>1310</v>
      </c>
      <c r="D1090" s="101" t="s">
        <v>2117</v>
      </c>
      <c r="E1090" s="102"/>
      <c r="F1090" s="13" t="s">
        <v>2387</v>
      </c>
      <c r="G1090" s="21">
        <v>1058</v>
      </c>
      <c r="H1090" s="72">
        <v>0</v>
      </c>
      <c r="I1090" s="39"/>
    </row>
    <row r="1091" spans="1:9" ht="12.25" customHeight="1" x14ac:dyDescent="0.3">
      <c r="A1091" s="4"/>
      <c r="B1091" s="13"/>
      <c r="C1091" s="13"/>
      <c r="D1091" s="67" t="s">
        <v>2657</v>
      </c>
      <c r="E1091" s="138"/>
      <c r="F1091" s="138"/>
      <c r="G1091" s="69">
        <v>108</v>
      </c>
      <c r="H1091" s="35"/>
      <c r="I1091" s="39"/>
    </row>
    <row r="1092" spans="1:9" ht="12.25" customHeight="1" x14ac:dyDescent="0.3">
      <c r="A1092" s="4"/>
      <c r="B1092" s="13"/>
      <c r="C1092" s="13"/>
      <c r="D1092" s="67" t="s">
        <v>2658</v>
      </c>
      <c r="E1092" s="138"/>
      <c r="F1092" s="138"/>
      <c r="G1092" s="69">
        <v>950</v>
      </c>
      <c r="H1092" s="35"/>
      <c r="I1092" s="39"/>
    </row>
    <row r="1093" spans="1:9" x14ac:dyDescent="0.3">
      <c r="A1093" s="66"/>
      <c r="B1093" s="14"/>
      <c r="C1093" s="14" t="s">
        <v>1311</v>
      </c>
      <c r="D1093" s="103" t="s">
        <v>2118</v>
      </c>
      <c r="E1093" s="104"/>
      <c r="F1093" s="14"/>
      <c r="G1093" s="31"/>
      <c r="H1093" s="36"/>
      <c r="I1093" s="39"/>
    </row>
    <row r="1094" spans="1:9" x14ac:dyDescent="0.3">
      <c r="A1094" s="4" t="s">
        <v>699</v>
      </c>
      <c r="B1094" s="13"/>
      <c r="C1094" s="13" t="s">
        <v>1312</v>
      </c>
      <c r="D1094" s="101" t="s">
        <v>2119</v>
      </c>
      <c r="E1094" s="102"/>
      <c r="F1094" s="13" t="s">
        <v>2389</v>
      </c>
      <c r="G1094" s="21">
        <v>65.8566</v>
      </c>
      <c r="H1094" s="72">
        <v>0</v>
      </c>
      <c r="I1094" s="39"/>
    </row>
    <row r="1095" spans="1:9" ht="12.25" customHeight="1" x14ac:dyDescent="0.3">
      <c r="A1095" s="4"/>
      <c r="B1095" s="13"/>
      <c r="C1095" s="13"/>
      <c r="D1095" s="67" t="s">
        <v>2659</v>
      </c>
      <c r="E1095" s="138"/>
      <c r="F1095" s="138"/>
      <c r="G1095" s="69">
        <v>65.8566</v>
      </c>
      <c r="H1095" s="35"/>
      <c r="I1095" s="39"/>
    </row>
    <row r="1096" spans="1:9" x14ac:dyDescent="0.3">
      <c r="A1096" s="66"/>
      <c r="B1096" s="14"/>
      <c r="C1096" s="14" t="s">
        <v>1313</v>
      </c>
      <c r="D1096" s="103" t="s">
        <v>1700</v>
      </c>
      <c r="E1096" s="104"/>
      <c r="F1096" s="14"/>
      <c r="G1096" s="31"/>
      <c r="H1096" s="36"/>
      <c r="I1096" s="39"/>
    </row>
    <row r="1097" spans="1:9" x14ac:dyDescent="0.3">
      <c r="A1097" s="4" t="s">
        <v>700</v>
      </c>
      <c r="B1097" s="13"/>
      <c r="C1097" s="13" t="s">
        <v>1314</v>
      </c>
      <c r="D1097" s="101" t="s">
        <v>2120</v>
      </c>
      <c r="E1097" s="102"/>
      <c r="F1097" s="13" t="s">
        <v>2389</v>
      </c>
      <c r="G1097" s="21">
        <v>13.5664</v>
      </c>
      <c r="H1097" s="72">
        <v>0</v>
      </c>
      <c r="I1097" s="39"/>
    </row>
    <row r="1098" spans="1:9" ht="12.25" customHeight="1" x14ac:dyDescent="0.3">
      <c r="A1098" s="4"/>
      <c r="B1098" s="13"/>
      <c r="C1098" s="13"/>
      <c r="D1098" s="67" t="s">
        <v>2660</v>
      </c>
      <c r="E1098" s="138"/>
      <c r="F1098" s="138"/>
      <c r="G1098" s="69">
        <v>13.5664</v>
      </c>
      <c r="H1098" s="35"/>
      <c r="I1098" s="39"/>
    </row>
    <row r="1099" spans="1:9" x14ac:dyDescent="0.3">
      <c r="A1099" s="66"/>
      <c r="B1099" s="14"/>
      <c r="C1099" s="14" t="s">
        <v>1315</v>
      </c>
      <c r="D1099" s="103" t="s">
        <v>2121</v>
      </c>
      <c r="E1099" s="104"/>
      <c r="F1099" s="14"/>
      <c r="G1099" s="31"/>
      <c r="H1099" s="36"/>
      <c r="I1099" s="39"/>
    </row>
    <row r="1100" spans="1:9" x14ac:dyDescent="0.3">
      <c r="A1100" s="4" t="s">
        <v>701</v>
      </c>
      <c r="B1100" s="13"/>
      <c r="C1100" s="13" t="s">
        <v>1316</v>
      </c>
      <c r="D1100" s="101" t="s">
        <v>2122</v>
      </c>
      <c r="E1100" s="102"/>
      <c r="F1100" s="13" t="s">
        <v>2389</v>
      </c>
      <c r="G1100" s="21">
        <v>4.5</v>
      </c>
      <c r="H1100" s="72">
        <v>0</v>
      </c>
      <c r="I1100" s="39"/>
    </row>
    <row r="1101" spans="1:9" ht="12.25" customHeight="1" x14ac:dyDescent="0.3">
      <c r="A1101" s="4"/>
      <c r="B1101" s="13"/>
      <c r="C1101" s="13"/>
      <c r="D1101" s="67" t="s">
        <v>2661</v>
      </c>
      <c r="E1101" s="138"/>
      <c r="F1101" s="138"/>
      <c r="G1101" s="69">
        <v>4.5</v>
      </c>
      <c r="H1101" s="35"/>
      <c r="I1101" s="39"/>
    </row>
    <row r="1102" spans="1:9" x14ac:dyDescent="0.3">
      <c r="A1102" s="66"/>
      <c r="B1102" s="14"/>
      <c r="C1102" s="14" t="s">
        <v>1317</v>
      </c>
      <c r="D1102" s="103" t="s">
        <v>2123</v>
      </c>
      <c r="E1102" s="104"/>
      <c r="F1102" s="14"/>
      <c r="G1102" s="31"/>
      <c r="H1102" s="36"/>
      <c r="I1102" s="39"/>
    </row>
    <row r="1103" spans="1:9" x14ac:dyDescent="0.3">
      <c r="A1103" s="4" t="s">
        <v>702</v>
      </c>
      <c r="B1103" s="13"/>
      <c r="C1103" s="13" t="s">
        <v>1318</v>
      </c>
      <c r="D1103" s="101" t="s">
        <v>2124</v>
      </c>
      <c r="E1103" s="102"/>
      <c r="F1103" s="13" t="s">
        <v>2389</v>
      </c>
      <c r="G1103" s="21">
        <v>2.5219999999999998</v>
      </c>
      <c r="H1103" s="72">
        <v>0</v>
      </c>
      <c r="I1103" s="39"/>
    </row>
    <row r="1104" spans="1:9" ht="12.25" customHeight="1" x14ac:dyDescent="0.3">
      <c r="A1104" s="4"/>
      <c r="B1104" s="13"/>
      <c r="C1104" s="13"/>
      <c r="D1104" s="67" t="s">
        <v>2662</v>
      </c>
      <c r="E1104" s="138"/>
      <c r="F1104" s="138"/>
      <c r="G1104" s="69">
        <v>2.5219999999999998</v>
      </c>
      <c r="H1104" s="35"/>
      <c r="I1104" s="39"/>
    </row>
    <row r="1105" spans="1:9" x14ac:dyDescent="0.3">
      <c r="A1105" s="66"/>
      <c r="B1105" s="14"/>
      <c r="C1105" s="14" t="s">
        <v>1319</v>
      </c>
      <c r="D1105" s="103" t="s">
        <v>2125</v>
      </c>
      <c r="E1105" s="104"/>
      <c r="F1105" s="14"/>
      <c r="G1105" s="31"/>
      <c r="H1105" s="36"/>
      <c r="I1105" s="39"/>
    </row>
    <row r="1106" spans="1:9" x14ac:dyDescent="0.3">
      <c r="A1106" s="4" t="s">
        <v>703</v>
      </c>
      <c r="B1106" s="13"/>
      <c r="C1106" s="13" t="s">
        <v>1320</v>
      </c>
      <c r="D1106" s="101" t="s">
        <v>2126</v>
      </c>
      <c r="E1106" s="102"/>
      <c r="F1106" s="13" t="s">
        <v>2389</v>
      </c>
      <c r="G1106" s="21">
        <v>3.5354999999999999</v>
      </c>
      <c r="H1106" s="72">
        <v>0</v>
      </c>
      <c r="I1106" s="39"/>
    </row>
    <row r="1107" spans="1:9" ht="12.25" customHeight="1" x14ac:dyDescent="0.3">
      <c r="A1107" s="4"/>
      <c r="B1107" s="13"/>
      <c r="C1107" s="13"/>
      <c r="D1107" s="67" t="s">
        <v>2663</v>
      </c>
      <c r="E1107" s="138"/>
      <c r="F1107" s="138"/>
      <c r="G1107" s="69">
        <v>3.5354999999999999</v>
      </c>
      <c r="H1107" s="35"/>
      <c r="I1107" s="39"/>
    </row>
    <row r="1108" spans="1:9" x14ac:dyDescent="0.3">
      <c r="A1108" s="66"/>
      <c r="B1108" s="14"/>
      <c r="C1108" s="14" t="s">
        <v>1321</v>
      </c>
      <c r="D1108" s="103" t="s">
        <v>1758</v>
      </c>
      <c r="E1108" s="104"/>
      <c r="F1108" s="14"/>
      <c r="G1108" s="31"/>
      <c r="H1108" s="36"/>
      <c r="I1108" s="39"/>
    </row>
    <row r="1109" spans="1:9" x14ac:dyDescent="0.3">
      <c r="A1109" s="4" t="s">
        <v>704</v>
      </c>
      <c r="B1109" s="13"/>
      <c r="C1109" s="13" t="s">
        <v>1322</v>
      </c>
      <c r="D1109" s="101" t="s">
        <v>2127</v>
      </c>
      <c r="E1109" s="102"/>
      <c r="F1109" s="13" t="s">
        <v>2389</v>
      </c>
      <c r="G1109" s="21">
        <v>1.3694999999999999</v>
      </c>
      <c r="H1109" s="72">
        <v>0</v>
      </c>
      <c r="I1109" s="39"/>
    </row>
    <row r="1110" spans="1:9" ht="12.25" customHeight="1" x14ac:dyDescent="0.3">
      <c r="A1110" s="4"/>
      <c r="B1110" s="13"/>
      <c r="C1110" s="13"/>
      <c r="D1110" s="67" t="s">
        <v>2664</v>
      </c>
      <c r="E1110" s="138"/>
      <c r="F1110" s="138"/>
      <c r="G1110" s="69">
        <v>1.3694999999999999</v>
      </c>
      <c r="H1110" s="35"/>
      <c r="I1110" s="39"/>
    </row>
    <row r="1111" spans="1:9" x14ac:dyDescent="0.3">
      <c r="A1111" s="66"/>
      <c r="B1111" s="14"/>
      <c r="C1111" s="14" t="s">
        <v>1323</v>
      </c>
      <c r="D1111" s="103" t="s">
        <v>1805</v>
      </c>
      <c r="E1111" s="104"/>
      <c r="F1111" s="14"/>
      <c r="G1111" s="31"/>
      <c r="H1111" s="36"/>
      <c r="I1111" s="39"/>
    </row>
    <row r="1112" spans="1:9" x14ac:dyDescent="0.3">
      <c r="A1112" s="4" t="s">
        <v>705</v>
      </c>
      <c r="B1112" s="13"/>
      <c r="C1112" s="13" t="s">
        <v>1324</v>
      </c>
      <c r="D1112" s="101" t="s">
        <v>2128</v>
      </c>
      <c r="E1112" s="102"/>
      <c r="F1112" s="13" t="s">
        <v>2389</v>
      </c>
      <c r="G1112" s="21">
        <v>0.25940000000000002</v>
      </c>
      <c r="H1112" s="72">
        <v>0</v>
      </c>
      <c r="I1112" s="39"/>
    </row>
    <row r="1113" spans="1:9" ht="12.25" customHeight="1" x14ac:dyDescent="0.3">
      <c r="A1113" s="4"/>
      <c r="B1113" s="13"/>
      <c r="C1113" s="13"/>
      <c r="D1113" s="67" t="s">
        <v>2665</v>
      </c>
      <c r="E1113" s="138"/>
      <c r="F1113" s="138"/>
      <c r="G1113" s="69">
        <v>0.25940000000000002</v>
      </c>
      <c r="H1113" s="35"/>
      <c r="I1113" s="39"/>
    </row>
    <row r="1114" spans="1:9" x14ac:dyDescent="0.3">
      <c r="A1114" s="66"/>
      <c r="B1114" s="14"/>
      <c r="C1114" s="14" t="s">
        <v>1325</v>
      </c>
      <c r="D1114" s="103" t="s">
        <v>2129</v>
      </c>
      <c r="E1114" s="104"/>
      <c r="F1114" s="14"/>
      <c r="G1114" s="31"/>
      <c r="H1114" s="36"/>
      <c r="I1114" s="39"/>
    </row>
    <row r="1115" spans="1:9" x14ac:dyDescent="0.3">
      <c r="A1115" s="4" t="s">
        <v>706</v>
      </c>
      <c r="B1115" s="13"/>
      <c r="C1115" s="13" t="s">
        <v>1326</v>
      </c>
      <c r="D1115" s="101" t="s">
        <v>2130</v>
      </c>
      <c r="E1115" s="102"/>
      <c r="F1115" s="13" t="s">
        <v>2389</v>
      </c>
      <c r="G1115" s="21">
        <v>2.8</v>
      </c>
      <c r="H1115" s="72">
        <v>0</v>
      </c>
      <c r="I1115" s="39"/>
    </row>
    <row r="1116" spans="1:9" ht="12.25" customHeight="1" x14ac:dyDescent="0.3">
      <c r="A1116" s="4"/>
      <c r="B1116" s="13"/>
      <c r="C1116" s="13"/>
      <c r="D1116" s="67" t="s">
        <v>2666</v>
      </c>
      <c r="E1116" s="138"/>
      <c r="F1116" s="138"/>
      <c r="G1116" s="69">
        <v>2.8</v>
      </c>
      <c r="H1116" s="35"/>
      <c r="I1116" s="39"/>
    </row>
    <row r="1117" spans="1:9" x14ac:dyDescent="0.3">
      <c r="A1117" s="66"/>
      <c r="B1117" s="14"/>
      <c r="C1117" s="14" t="s">
        <v>1327</v>
      </c>
      <c r="D1117" s="103" t="s">
        <v>1908</v>
      </c>
      <c r="E1117" s="104"/>
      <c r="F1117" s="14"/>
      <c r="G1117" s="31"/>
      <c r="H1117" s="36"/>
      <c r="I1117" s="39"/>
    </row>
    <row r="1118" spans="1:9" x14ac:dyDescent="0.3">
      <c r="A1118" s="4" t="s">
        <v>707</v>
      </c>
      <c r="B1118" s="13"/>
      <c r="C1118" s="13" t="s">
        <v>1328</v>
      </c>
      <c r="D1118" s="101" t="s">
        <v>2131</v>
      </c>
      <c r="E1118" s="102"/>
      <c r="F1118" s="13" t="s">
        <v>2389</v>
      </c>
      <c r="G1118" s="21">
        <v>1.7</v>
      </c>
      <c r="H1118" s="72">
        <v>0</v>
      </c>
      <c r="I1118" s="39"/>
    </row>
    <row r="1119" spans="1:9" ht="12.25" customHeight="1" x14ac:dyDescent="0.3">
      <c r="A1119" s="4"/>
      <c r="B1119" s="13"/>
      <c r="C1119" s="13"/>
      <c r="D1119" s="67" t="s">
        <v>2667</v>
      </c>
      <c r="E1119" s="138"/>
      <c r="F1119" s="138"/>
      <c r="G1119" s="69">
        <v>1.7</v>
      </c>
      <c r="H1119" s="35"/>
      <c r="I1119" s="39"/>
    </row>
    <row r="1120" spans="1:9" x14ac:dyDescent="0.3">
      <c r="A1120" s="66"/>
      <c r="B1120" s="14"/>
      <c r="C1120" s="14" t="s">
        <v>1329</v>
      </c>
      <c r="D1120" s="103" t="s">
        <v>1925</v>
      </c>
      <c r="E1120" s="104"/>
      <c r="F1120" s="14"/>
      <c r="G1120" s="31"/>
      <c r="H1120" s="36"/>
      <c r="I1120" s="39"/>
    </row>
    <row r="1121" spans="1:9" x14ac:dyDescent="0.3">
      <c r="A1121" s="4" t="s">
        <v>708</v>
      </c>
      <c r="B1121" s="13"/>
      <c r="C1121" s="13" t="s">
        <v>1330</v>
      </c>
      <c r="D1121" s="101" t="s">
        <v>2132</v>
      </c>
      <c r="E1121" s="102"/>
      <c r="F1121" s="13" t="s">
        <v>2389</v>
      </c>
      <c r="G1121" s="21">
        <v>24.195900000000002</v>
      </c>
      <c r="H1121" s="72">
        <v>0</v>
      </c>
      <c r="I1121" s="39"/>
    </row>
    <row r="1122" spans="1:9" ht="12.25" customHeight="1" x14ac:dyDescent="0.3">
      <c r="A1122" s="4"/>
      <c r="B1122" s="13"/>
      <c r="C1122" s="13"/>
      <c r="D1122" s="67" t="s">
        <v>2668</v>
      </c>
      <c r="E1122" s="138"/>
      <c r="F1122" s="138"/>
      <c r="G1122" s="69">
        <v>24.195900000000002</v>
      </c>
      <c r="H1122" s="35"/>
      <c r="I1122" s="39"/>
    </row>
    <row r="1123" spans="1:9" x14ac:dyDescent="0.3">
      <c r="A1123" s="66"/>
      <c r="B1123" s="14"/>
      <c r="C1123" s="14" t="s">
        <v>1331</v>
      </c>
      <c r="D1123" s="103" t="s">
        <v>2035</v>
      </c>
      <c r="E1123" s="104"/>
      <c r="F1123" s="14"/>
      <c r="G1123" s="31"/>
      <c r="H1123" s="36"/>
      <c r="I1123" s="39"/>
    </row>
    <row r="1124" spans="1:9" x14ac:dyDescent="0.3">
      <c r="A1124" s="4" t="s">
        <v>709</v>
      </c>
      <c r="B1124" s="13"/>
      <c r="C1124" s="13" t="s">
        <v>1332</v>
      </c>
      <c r="D1124" s="101" t="s">
        <v>2133</v>
      </c>
      <c r="E1124" s="102"/>
      <c r="F1124" s="13" t="s">
        <v>2389</v>
      </c>
      <c r="G1124" s="21">
        <v>42.251100000000001</v>
      </c>
      <c r="H1124" s="72">
        <v>0</v>
      </c>
      <c r="I1124" s="39"/>
    </row>
    <row r="1125" spans="1:9" ht="12.25" customHeight="1" x14ac:dyDescent="0.3">
      <c r="A1125" s="4"/>
      <c r="B1125" s="13"/>
      <c r="C1125" s="13"/>
      <c r="D1125" s="67" t="s">
        <v>2669</v>
      </c>
      <c r="E1125" s="138"/>
      <c r="F1125" s="138"/>
      <c r="G1125" s="69">
        <v>42.251100000000001</v>
      </c>
      <c r="H1125" s="35"/>
      <c r="I1125" s="39"/>
    </row>
    <row r="1126" spans="1:9" x14ac:dyDescent="0.3">
      <c r="A1126" s="66"/>
      <c r="B1126" s="14"/>
      <c r="C1126" s="14" t="s">
        <v>1333</v>
      </c>
      <c r="D1126" s="103" t="s">
        <v>2056</v>
      </c>
      <c r="E1126" s="104"/>
      <c r="F1126" s="14"/>
      <c r="G1126" s="31"/>
      <c r="H1126" s="36"/>
      <c r="I1126" s="39"/>
    </row>
    <row r="1127" spans="1:9" x14ac:dyDescent="0.3">
      <c r="A1127" s="4" t="s">
        <v>710</v>
      </c>
      <c r="B1127" s="13"/>
      <c r="C1127" s="13" t="s">
        <v>1334</v>
      </c>
      <c r="D1127" s="101" t="s">
        <v>2134</v>
      </c>
      <c r="E1127" s="102"/>
      <c r="F1127" s="13" t="s">
        <v>2389</v>
      </c>
      <c r="G1127" s="21">
        <v>6.8182999999999998</v>
      </c>
      <c r="H1127" s="72">
        <v>0</v>
      </c>
      <c r="I1127" s="39"/>
    </row>
    <row r="1128" spans="1:9" ht="12.25" customHeight="1" x14ac:dyDescent="0.3">
      <c r="A1128" s="4"/>
      <c r="B1128" s="13"/>
      <c r="C1128" s="13"/>
      <c r="D1128" s="67" t="s">
        <v>2670</v>
      </c>
      <c r="E1128" s="138"/>
      <c r="F1128" s="138"/>
      <c r="G1128" s="69">
        <v>6.8182999999999998</v>
      </c>
      <c r="H1128" s="35"/>
      <c r="I1128" s="39"/>
    </row>
    <row r="1129" spans="1:9" x14ac:dyDescent="0.3">
      <c r="A1129" s="66"/>
      <c r="B1129" s="14"/>
      <c r="C1129" s="14" t="s">
        <v>1335</v>
      </c>
      <c r="D1129" s="103" t="s">
        <v>2135</v>
      </c>
      <c r="E1129" s="104"/>
      <c r="F1129" s="14"/>
      <c r="G1129" s="31"/>
      <c r="H1129" s="36"/>
      <c r="I1129" s="39"/>
    </row>
    <row r="1130" spans="1:9" x14ac:dyDescent="0.3">
      <c r="A1130" s="4" t="s">
        <v>711</v>
      </c>
      <c r="B1130" s="13"/>
      <c r="C1130" s="13" t="s">
        <v>1336</v>
      </c>
      <c r="D1130" s="101" t="s">
        <v>2136</v>
      </c>
      <c r="E1130" s="102"/>
      <c r="F1130" s="13" t="s">
        <v>2389</v>
      </c>
      <c r="G1130" s="21">
        <v>4.1025</v>
      </c>
      <c r="H1130" s="72">
        <v>0</v>
      </c>
      <c r="I1130" s="39"/>
    </row>
    <row r="1131" spans="1:9" ht="12.25" customHeight="1" x14ac:dyDescent="0.3">
      <c r="A1131" s="4"/>
      <c r="B1131" s="13"/>
      <c r="C1131" s="13"/>
      <c r="D1131" s="67" t="s">
        <v>2671</v>
      </c>
      <c r="E1131" s="138"/>
      <c r="F1131" s="138"/>
      <c r="G1131" s="69">
        <v>4.1025</v>
      </c>
      <c r="H1131" s="35"/>
      <c r="I1131" s="39"/>
    </row>
    <row r="1132" spans="1:9" x14ac:dyDescent="0.3">
      <c r="A1132" s="66"/>
      <c r="B1132" s="14"/>
      <c r="C1132" s="14" t="s">
        <v>1337</v>
      </c>
      <c r="D1132" s="103" t="s">
        <v>2070</v>
      </c>
      <c r="E1132" s="104"/>
      <c r="F1132" s="14"/>
      <c r="G1132" s="31"/>
      <c r="H1132" s="36"/>
      <c r="I1132" s="39"/>
    </row>
    <row r="1133" spans="1:9" x14ac:dyDescent="0.3">
      <c r="A1133" s="4" t="s">
        <v>712</v>
      </c>
      <c r="B1133" s="13"/>
      <c r="C1133" s="13" t="s">
        <v>1338</v>
      </c>
      <c r="D1133" s="101" t="s">
        <v>2137</v>
      </c>
      <c r="E1133" s="102"/>
      <c r="F1133" s="13" t="s">
        <v>2389</v>
      </c>
      <c r="G1133" s="21">
        <v>11.6769</v>
      </c>
      <c r="H1133" s="72">
        <v>0</v>
      </c>
      <c r="I1133" s="39"/>
    </row>
    <row r="1134" spans="1:9" ht="12.25" customHeight="1" x14ac:dyDescent="0.3">
      <c r="A1134" s="4"/>
      <c r="B1134" s="13"/>
      <c r="C1134" s="13"/>
      <c r="D1134" s="67" t="s">
        <v>2672</v>
      </c>
      <c r="E1134" s="138"/>
      <c r="F1134" s="138"/>
      <c r="G1134" s="69">
        <v>11.6769</v>
      </c>
      <c r="H1134" s="35"/>
      <c r="I1134" s="39"/>
    </row>
    <row r="1135" spans="1:9" x14ac:dyDescent="0.3">
      <c r="A1135" s="66"/>
      <c r="B1135" s="14"/>
      <c r="C1135" s="14" t="s">
        <v>1339</v>
      </c>
      <c r="D1135" s="103" t="s">
        <v>2138</v>
      </c>
      <c r="E1135" s="104"/>
      <c r="F1135" s="14"/>
      <c r="G1135" s="31"/>
      <c r="H1135" s="36"/>
      <c r="I1135" s="39"/>
    </row>
    <row r="1136" spans="1:9" x14ac:dyDescent="0.3">
      <c r="A1136" s="4" t="s">
        <v>713</v>
      </c>
      <c r="B1136" s="13"/>
      <c r="C1136" s="13" t="s">
        <v>1340</v>
      </c>
      <c r="D1136" s="101" t="s">
        <v>2139</v>
      </c>
      <c r="E1136" s="102"/>
      <c r="F1136" s="13" t="s">
        <v>2389</v>
      </c>
      <c r="G1136" s="21">
        <v>0</v>
      </c>
      <c r="H1136" s="72">
        <v>0</v>
      </c>
      <c r="I1136" s="39"/>
    </row>
    <row r="1137" spans="1:9" x14ac:dyDescent="0.3">
      <c r="A1137" s="66"/>
      <c r="B1137" s="14"/>
      <c r="C1137" s="14" t="s">
        <v>1341</v>
      </c>
      <c r="D1137" s="103" t="s">
        <v>2140</v>
      </c>
      <c r="E1137" s="104"/>
      <c r="F1137" s="14"/>
      <c r="G1137" s="31"/>
      <c r="H1137" s="36"/>
      <c r="I1137" s="39"/>
    </row>
    <row r="1138" spans="1:9" x14ac:dyDescent="0.3">
      <c r="A1138" s="4" t="s">
        <v>714</v>
      </c>
      <c r="B1138" s="13"/>
      <c r="C1138" s="13" t="s">
        <v>1342</v>
      </c>
      <c r="D1138" s="101" t="s">
        <v>2141</v>
      </c>
      <c r="E1138" s="102"/>
      <c r="F1138" s="13" t="s">
        <v>2386</v>
      </c>
      <c r="G1138" s="21">
        <v>1</v>
      </c>
      <c r="H1138" s="72">
        <v>0</v>
      </c>
      <c r="I1138" s="39"/>
    </row>
    <row r="1139" spans="1:9" x14ac:dyDescent="0.3">
      <c r="A1139" s="66"/>
      <c r="B1139" s="14"/>
      <c r="C1139" s="14" t="s">
        <v>1343</v>
      </c>
      <c r="D1139" s="103" t="s">
        <v>2142</v>
      </c>
      <c r="E1139" s="104"/>
      <c r="F1139" s="14"/>
      <c r="G1139" s="31"/>
      <c r="H1139" s="36"/>
      <c r="I1139" s="39"/>
    </row>
    <row r="1140" spans="1:9" x14ac:dyDescent="0.3">
      <c r="A1140" s="4" t="s">
        <v>715</v>
      </c>
      <c r="B1140" s="13"/>
      <c r="C1140" s="13" t="s">
        <v>1344</v>
      </c>
      <c r="D1140" s="101" t="s">
        <v>2143</v>
      </c>
      <c r="E1140" s="102"/>
      <c r="F1140" s="13" t="s">
        <v>2386</v>
      </c>
      <c r="G1140" s="21">
        <v>1</v>
      </c>
      <c r="H1140" s="72">
        <v>0</v>
      </c>
      <c r="I1140" s="39"/>
    </row>
    <row r="1141" spans="1:9" x14ac:dyDescent="0.3">
      <c r="A1141" s="4" t="s">
        <v>716</v>
      </c>
      <c r="B1141" s="13"/>
      <c r="C1141" s="13" t="s">
        <v>1345</v>
      </c>
      <c r="D1141" s="101" t="s">
        <v>2144</v>
      </c>
      <c r="E1141" s="102"/>
      <c r="F1141" s="13" t="s">
        <v>2386</v>
      </c>
      <c r="G1141" s="21">
        <v>1</v>
      </c>
      <c r="H1141" s="72">
        <v>0</v>
      </c>
      <c r="I1141" s="39"/>
    </row>
    <row r="1142" spans="1:9" x14ac:dyDescent="0.3">
      <c r="A1142" s="4" t="s">
        <v>717</v>
      </c>
      <c r="B1142" s="13"/>
      <c r="C1142" s="13" t="s">
        <v>1346</v>
      </c>
      <c r="D1142" s="101" t="s">
        <v>2145</v>
      </c>
      <c r="E1142" s="102"/>
      <c r="F1142" s="13" t="s">
        <v>2386</v>
      </c>
      <c r="G1142" s="21">
        <v>1</v>
      </c>
      <c r="H1142" s="72">
        <v>0</v>
      </c>
      <c r="I1142" s="39"/>
    </row>
    <row r="1143" spans="1:9" x14ac:dyDescent="0.3">
      <c r="A1143" s="4" t="s">
        <v>718</v>
      </c>
      <c r="B1143" s="13"/>
      <c r="C1143" s="13" t="s">
        <v>1347</v>
      </c>
      <c r="D1143" s="101" t="s">
        <v>2146</v>
      </c>
      <c r="E1143" s="102"/>
      <c r="F1143" s="13" t="s">
        <v>2386</v>
      </c>
      <c r="G1143" s="21">
        <v>1</v>
      </c>
      <c r="H1143" s="72">
        <v>0</v>
      </c>
      <c r="I1143" s="39"/>
    </row>
    <row r="1144" spans="1:9" x14ac:dyDescent="0.3">
      <c r="A1144" s="4" t="s">
        <v>719</v>
      </c>
      <c r="B1144" s="13"/>
      <c r="C1144" s="13" t="s">
        <v>1348</v>
      </c>
      <c r="D1144" s="101" t="s">
        <v>2147</v>
      </c>
      <c r="E1144" s="102"/>
      <c r="F1144" s="13" t="s">
        <v>2386</v>
      </c>
      <c r="G1144" s="21">
        <v>1</v>
      </c>
      <c r="H1144" s="72">
        <v>0</v>
      </c>
      <c r="I1144" s="39"/>
    </row>
    <row r="1145" spans="1:9" x14ac:dyDescent="0.3">
      <c r="A1145" s="4" t="s">
        <v>720</v>
      </c>
      <c r="B1145" s="13"/>
      <c r="C1145" s="13" t="s">
        <v>1349</v>
      </c>
      <c r="D1145" s="101" t="s">
        <v>2148</v>
      </c>
      <c r="E1145" s="102"/>
      <c r="F1145" s="13" t="s">
        <v>2386</v>
      </c>
      <c r="G1145" s="21">
        <v>1</v>
      </c>
      <c r="H1145" s="72">
        <v>0</v>
      </c>
      <c r="I1145" s="39"/>
    </row>
    <row r="1146" spans="1:9" x14ac:dyDescent="0.3">
      <c r="A1146" s="4" t="s">
        <v>721</v>
      </c>
      <c r="B1146" s="13"/>
      <c r="C1146" s="13" t="s">
        <v>1350</v>
      </c>
      <c r="D1146" s="101" t="s">
        <v>2149</v>
      </c>
      <c r="E1146" s="102"/>
      <c r="F1146" s="13" t="s">
        <v>2384</v>
      </c>
      <c r="G1146" s="21">
        <v>21</v>
      </c>
      <c r="H1146" s="72">
        <v>0</v>
      </c>
      <c r="I1146" s="39"/>
    </row>
    <row r="1147" spans="1:9" x14ac:dyDescent="0.3">
      <c r="A1147" s="4" t="s">
        <v>722</v>
      </c>
      <c r="B1147" s="13"/>
      <c r="C1147" s="13" t="s">
        <v>1351</v>
      </c>
      <c r="D1147" s="101" t="s">
        <v>2150</v>
      </c>
      <c r="E1147" s="102"/>
      <c r="F1147" s="13" t="s">
        <v>2384</v>
      </c>
      <c r="G1147" s="21">
        <v>28</v>
      </c>
      <c r="H1147" s="72">
        <v>0</v>
      </c>
      <c r="I1147" s="39"/>
    </row>
    <row r="1148" spans="1:9" x14ac:dyDescent="0.3">
      <c r="A1148" s="4" t="s">
        <v>723</v>
      </c>
      <c r="B1148" s="13"/>
      <c r="C1148" s="13" t="s">
        <v>1352</v>
      </c>
      <c r="D1148" s="101" t="s">
        <v>2151</v>
      </c>
      <c r="E1148" s="102"/>
      <c r="F1148" s="13" t="s">
        <v>2384</v>
      </c>
      <c r="G1148" s="21">
        <v>20</v>
      </c>
      <c r="H1148" s="72">
        <v>0</v>
      </c>
      <c r="I1148" s="39"/>
    </row>
    <row r="1149" spans="1:9" x14ac:dyDescent="0.3">
      <c r="A1149" s="4" t="s">
        <v>724</v>
      </c>
      <c r="B1149" s="13"/>
      <c r="C1149" s="13" t="s">
        <v>1353</v>
      </c>
      <c r="D1149" s="101" t="s">
        <v>2152</v>
      </c>
      <c r="E1149" s="102"/>
      <c r="F1149" s="13" t="s">
        <v>2384</v>
      </c>
      <c r="G1149" s="21">
        <v>8</v>
      </c>
      <c r="H1149" s="72">
        <v>0</v>
      </c>
      <c r="I1149" s="39"/>
    </row>
    <row r="1150" spans="1:9" x14ac:dyDescent="0.3">
      <c r="A1150" s="4" t="s">
        <v>725</v>
      </c>
      <c r="B1150" s="13"/>
      <c r="C1150" s="13" t="s">
        <v>1354</v>
      </c>
      <c r="D1150" s="101" t="s">
        <v>2153</v>
      </c>
      <c r="E1150" s="102"/>
      <c r="F1150" s="13" t="s">
        <v>2384</v>
      </c>
      <c r="G1150" s="21">
        <v>33</v>
      </c>
      <c r="H1150" s="72">
        <v>0</v>
      </c>
      <c r="I1150" s="39"/>
    </row>
    <row r="1151" spans="1:9" x14ac:dyDescent="0.3">
      <c r="A1151" s="4" t="s">
        <v>726</v>
      </c>
      <c r="B1151" s="13"/>
      <c r="C1151" s="13" t="s">
        <v>1355</v>
      </c>
      <c r="D1151" s="101" t="s">
        <v>2154</v>
      </c>
      <c r="E1151" s="102"/>
      <c r="F1151" s="13" t="s">
        <v>2384</v>
      </c>
      <c r="G1151" s="21">
        <v>138</v>
      </c>
      <c r="H1151" s="72">
        <v>0</v>
      </c>
      <c r="I1151" s="39"/>
    </row>
    <row r="1152" spans="1:9" x14ac:dyDescent="0.3">
      <c r="A1152" s="4" t="s">
        <v>727</v>
      </c>
      <c r="B1152" s="13"/>
      <c r="C1152" s="13" t="s">
        <v>1356</v>
      </c>
      <c r="D1152" s="101" t="s">
        <v>2155</v>
      </c>
      <c r="E1152" s="102"/>
      <c r="F1152" s="13" t="s">
        <v>2384</v>
      </c>
      <c r="G1152" s="21">
        <v>10</v>
      </c>
      <c r="H1152" s="72">
        <v>0</v>
      </c>
      <c r="I1152" s="39"/>
    </row>
    <row r="1153" spans="1:9" x14ac:dyDescent="0.3">
      <c r="A1153" s="4" t="s">
        <v>728</v>
      </c>
      <c r="B1153" s="13"/>
      <c r="C1153" s="13" t="s">
        <v>1357</v>
      </c>
      <c r="D1153" s="101" t="s">
        <v>2156</v>
      </c>
      <c r="E1153" s="102"/>
      <c r="F1153" s="13" t="s">
        <v>2384</v>
      </c>
      <c r="G1153" s="21">
        <v>11</v>
      </c>
      <c r="H1153" s="72">
        <v>0</v>
      </c>
      <c r="I1153" s="39"/>
    </row>
    <row r="1154" spans="1:9" x14ac:dyDescent="0.3">
      <c r="A1154" s="4" t="s">
        <v>729</v>
      </c>
      <c r="B1154" s="13"/>
      <c r="C1154" s="13" t="s">
        <v>1358</v>
      </c>
      <c r="D1154" s="101" t="s">
        <v>2157</v>
      </c>
      <c r="E1154" s="102"/>
      <c r="F1154" s="13" t="s">
        <v>2384</v>
      </c>
      <c r="G1154" s="21">
        <v>12</v>
      </c>
      <c r="H1154" s="72">
        <v>0</v>
      </c>
      <c r="I1154" s="39"/>
    </row>
    <row r="1155" spans="1:9" x14ac:dyDescent="0.3">
      <c r="A1155" s="4" t="s">
        <v>730</v>
      </c>
      <c r="B1155" s="13"/>
      <c r="C1155" s="13" t="s">
        <v>1359</v>
      </c>
      <c r="D1155" s="101" t="s">
        <v>2158</v>
      </c>
      <c r="E1155" s="102"/>
      <c r="F1155" s="13" t="s">
        <v>2384</v>
      </c>
      <c r="G1155" s="21">
        <v>112</v>
      </c>
      <c r="H1155" s="72">
        <v>0</v>
      </c>
      <c r="I1155" s="39"/>
    </row>
    <row r="1156" spans="1:9" x14ac:dyDescent="0.3">
      <c r="A1156" s="4" t="s">
        <v>731</v>
      </c>
      <c r="B1156" s="13"/>
      <c r="C1156" s="13" t="s">
        <v>1360</v>
      </c>
      <c r="D1156" s="101" t="s">
        <v>2159</v>
      </c>
      <c r="E1156" s="102"/>
      <c r="F1156" s="13" t="s">
        <v>2384</v>
      </c>
      <c r="G1156" s="21">
        <v>49</v>
      </c>
      <c r="H1156" s="72">
        <v>0</v>
      </c>
      <c r="I1156" s="39"/>
    </row>
    <row r="1157" spans="1:9" x14ac:dyDescent="0.3">
      <c r="A1157" s="4" t="s">
        <v>732</v>
      </c>
      <c r="B1157" s="13"/>
      <c r="C1157" s="13" t="s">
        <v>1361</v>
      </c>
      <c r="D1157" s="101" t="s">
        <v>2160</v>
      </c>
      <c r="E1157" s="102"/>
      <c r="F1157" s="13" t="s">
        <v>2385</v>
      </c>
      <c r="G1157" s="21">
        <v>234</v>
      </c>
      <c r="H1157" s="72">
        <v>0</v>
      </c>
      <c r="I1157" s="39"/>
    </row>
    <row r="1158" spans="1:9" x14ac:dyDescent="0.3">
      <c r="A1158" s="4" t="s">
        <v>733</v>
      </c>
      <c r="B1158" s="13"/>
      <c r="C1158" s="13" t="s">
        <v>1362</v>
      </c>
      <c r="D1158" s="101" t="s">
        <v>2161</v>
      </c>
      <c r="E1158" s="102"/>
      <c r="F1158" s="13" t="s">
        <v>2385</v>
      </c>
      <c r="G1158" s="21">
        <v>2480</v>
      </c>
      <c r="H1158" s="72">
        <v>0</v>
      </c>
      <c r="I1158" s="39"/>
    </row>
    <row r="1159" spans="1:9" ht="12.25" customHeight="1" x14ac:dyDescent="0.3">
      <c r="A1159" s="4"/>
      <c r="B1159" s="13"/>
      <c r="C1159" s="13"/>
      <c r="D1159" s="67" t="s">
        <v>2673</v>
      </c>
      <c r="E1159" s="138"/>
      <c r="F1159" s="138"/>
      <c r="G1159" s="69">
        <v>2480</v>
      </c>
      <c r="H1159" s="35"/>
      <c r="I1159" s="39"/>
    </row>
    <row r="1160" spans="1:9" x14ac:dyDescent="0.3">
      <c r="A1160" s="4" t="s">
        <v>734</v>
      </c>
      <c r="B1160" s="13"/>
      <c r="C1160" s="13" t="s">
        <v>1363</v>
      </c>
      <c r="D1160" s="101" t="s">
        <v>2162</v>
      </c>
      <c r="E1160" s="102"/>
      <c r="F1160" s="13" t="s">
        <v>2385</v>
      </c>
      <c r="G1160" s="21">
        <v>644</v>
      </c>
      <c r="H1160" s="72">
        <v>0</v>
      </c>
      <c r="I1160" s="39"/>
    </row>
    <row r="1161" spans="1:9" x14ac:dyDescent="0.3">
      <c r="A1161" s="4" t="s">
        <v>735</v>
      </c>
      <c r="B1161" s="13"/>
      <c r="C1161" s="13" t="s">
        <v>1364</v>
      </c>
      <c r="D1161" s="101" t="s">
        <v>2163</v>
      </c>
      <c r="E1161" s="102"/>
      <c r="F1161" s="13" t="s">
        <v>2385</v>
      </c>
      <c r="G1161" s="21">
        <v>4457</v>
      </c>
      <c r="H1161" s="72">
        <v>0</v>
      </c>
      <c r="I1161" s="39"/>
    </row>
    <row r="1162" spans="1:9" x14ac:dyDescent="0.3">
      <c r="A1162" s="4" t="s">
        <v>736</v>
      </c>
      <c r="B1162" s="13"/>
      <c r="C1162" s="13" t="s">
        <v>1365</v>
      </c>
      <c r="D1162" s="101" t="s">
        <v>2164</v>
      </c>
      <c r="E1162" s="102"/>
      <c r="F1162" s="13" t="s">
        <v>2385</v>
      </c>
      <c r="G1162" s="21">
        <v>852</v>
      </c>
      <c r="H1162" s="72">
        <v>0</v>
      </c>
      <c r="I1162" s="39"/>
    </row>
    <row r="1163" spans="1:9" x14ac:dyDescent="0.3">
      <c r="A1163" s="4" t="s">
        <v>737</v>
      </c>
      <c r="B1163" s="13"/>
      <c r="C1163" s="13" t="s">
        <v>1366</v>
      </c>
      <c r="D1163" s="101" t="s">
        <v>2165</v>
      </c>
      <c r="E1163" s="102"/>
      <c r="F1163" s="13" t="s">
        <v>2385</v>
      </c>
      <c r="G1163" s="21">
        <v>990</v>
      </c>
      <c r="H1163" s="72">
        <v>0</v>
      </c>
      <c r="I1163" s="39"/>
    </row>
    <row r="1164" spans="1:9" x14ac:dyDescent="0.3">
      <c r="A1164" s="4" t="s">
        <v>738</v>
      </c>
      <c r="B1164" s="13"/>
      <c r="C1164" s="13" t="s">
        <v>1367</v>
      </c>
      <c r="D1164" s="101" t="s">
        <v>2166</v>
      </c>
      <c r="E1164" s="102"/>
      <c r="F1164" s="13" t="s">
        <v>2385</v>
      </c>
      <c r="G1164" s="21">
        <v>468</v>
      </c>
      <c r="H1164" s="72">
        <v>0</v>
      </c>
      <c r="I1164" s="39"/>
    </row>
    <row r="1165" spans="1:9" x14ac:dyDescent="0.3">
      <c r="A1165" s="4" t="s">
        <v>739</v>
      </c>
      <c r="B1165" s="13"/>
      <c r="C1165" s="13" t="s">
        <v>1368</v>
      </c>
      <c r="D1165" s="101" t="s">
        <v>2167</v>
      </c>
      <c r="E1165" s="102"/>
      <c r="F1165" s="13" t="s">
        <v>2385</v>
      </c>
      <c r="G1165" s="21">
        <v>652</v>
      </c>
      <c r="H1165" s="72">
        <v>0</v>
      </c>
      <c r="I1165" s="39"/>
    </row>
    <row r="1166" spans="1:9" x14ac:dyDescent="0.3">
      <c r="A1166" s="4" t="s">
        <v>740</v>
      </c>
      <c r="B1166" s="13"/>
      <c r="C1166" s="13" t="s">
        <v>1369</v>
      </c>
      <c r="D1166" s="101" t="s">
        <v>2168</v>
      </c>
      <c r="E1166" s="102"/>
      <c r="F1166" s="13" t="s">
        <v>2385</v>
      </c>
      <c r="G1166" s="21">
        <v>162</v>
      </c>
      <c r="H1166" s="72">
        <v>0</v>
      </c>
      <c r="I1166" s="39"/>
    </row>
    <row r="1167" spans="1:9" x14ac:dyDescent="0.3">
      <c r="A1167" s="4" t="s">
        <v>741</v>
      </c>
      <c r="B1167" s="13"/>
      <c r="C1167" s="13" t="s">
        <v>1370</v>
      </c>
      <c r="D1167" s="101" t="s">
        <v>2169</v>
      </c>
      <c r="E1167" s="102"/>
      <c r="F1167" s="13" t="s">
        <v>2385</v>
      </c>
      <c r="G1167" s="21">
        <v>160</v>
      </c>
      <c r="H1167" s="72">
        <v>0</v>
      </c>
      <c r="I1167" s="39"/>
    </row>
    <row r="1168" spans="1:9" x14ac:dyDescent="0.3">
      <c r="A1168" s="4" t="s">
        <v>742</v>
      </c>
      <c r="B1168" s="13"/>
      <c r="C1168" s="13" t="s">
        <v>1371</v>
      </c>
      <c r="D1168" s="101" t="s">
        <v>2170</v>
      </c>
      <c r="E1168" s="102"/>
      <c r="F1168" s="13" t="s">
        <v>2385</v>
      </c>
      <c r="G1168" s="21">
        <v>350</v>
      </c>
      <c r="H1168" s="72">
        <v>0</v>
      </c>
      <c r="I1168" s="39"/>
    </row>
    <row r="1169" spans="1:9" x14ac:dyDescent="0.3">
      <c r="A1169" s="4" t="s">
        <v>743</v>
      </c>
      <c r="B1169" s="13"/>
      <c r="C1169" s="13" t="s">
        <v>1372</v>
      </c>
      <c r="D1169" s="101" t="s">
        <v>2171</v>
      </c>
      <c r="E1169" s="102"/>
      <c r="F1169" s="13" t="s">
        <v>2385</v>
      </c>
      <c r="G1169" s="21">
        <v>220</v>
      </c>
      <c r="H1169" s="72">
        <v>0</v>
      </c>
      <c r="I1169" s="39"/>
    </row>
    <row r="1170" spans="1:9" x14ac:dyDescent="0.3">
      <c r="A1170" s="4" t="s">
        <v>744</v>
      </c>
      <c r="B1170" s="13"/>
      <c r="C1170" s="13" t="s">
        <v>1373</v>
      </c>
      <c r="D1170" s="101" t="s">
        <v>2172</v>
      </c>
      <c r="E1170" s="102"/>
      <c r="F1170" s="13" t="s">
        <v>2385</v>
      </c>
      <c r="G1170" s="21">
        <v>860</v>
      </c>
      <c r="H1170" s="72">
        <v>0</v>
      </c>
      <c r="I1170" s="39"/>
    </row>
    <row r="1171" spans="1:9" x14ac:dyDescent="0.3">
      <c r="A1171" s="4" t="s">
        <v>745</v>
      </c>
      <c r="B1171" s="13"/>
      <c r="C1171" s="13" t="s">
        <v>1374</v>
      </c>
      <c r="D1171" s="101" t="s">
        <v>2173</v>
      </c>
      <c r="E1171" s="102"/>
      <c r="F1171" s="13" t="s">
        <v>2385</v>
      </c>
      <c r="G1171" s="21">
        <v>650</v>
      </c>
      <c r="H1171" s="72">
        <v>0</v>
      </c>
      <c r="I1171" s="39"/>
    </row>
    <row r="1172" spans="1:9" x14ac:dyDescent="0.3">
      <c r="A1172" s="4" t="s">
        <v>746</v>
      </c>
      <c r="B1172" s="13"/>
      <c r="C1172" s="13" t="s">
        <v>1375</v>
      </c>
      <c r="D1172" s="101" t="s">
        <v>2174</v>
      </c>
      <c r="E1172" s="102"/>
      <c r="F1172" s="13" t="s">
        <v>2395</v>
      </c>
      <c r="G1172" s="21">
        <v>1</v>
      </c>
      <c r="H1172" s="72">
        <v>0</v>
      </c>
      <c r="I1172" s="39"/>
    </row>
    <row r="1173" spans="1:9" x14ac:dyDescent="0.3">
      <c r="A1173" s="4" t="s">
        <v>747</v>
      </c>
      <c r="B1173" s="13"/>
      <c r="C1173" s="13" t="s">
        <v>1376</v>
      </c>
      <c r="D1173" s="101" t="s">
        <v>2175</v>
      </c>
      <c r="E1173" s="102"/>
      <c r="F1173" s="13" t="s">
        <v>2384</v>
      </c>
      <c r="G1173" s="21">
        <v>1960</v>
      </c>
      <c r="H1173" s="72">
        <v>0</v>
      </c>
      <c r="I1173" s="39"/>
    </row>
    <row r="1174" spans="1:9" x14ac:dyDescent="0.3">
      <c r="A1174" s="4" t="s">
        <v>748</v>
      </c>
      <c r="B1174" s="13"/>
      <c r="C1174" s="13" t="s">
        <v>1377</v>
      </c>
      <c r="D1174" s="101" t="s">
        <v>2176</v>
      </c>
      <c r="E1174" s="102"/>
      <c r="F1174" s="13" t="s">
        <v>2386</v>
      </c>
      <c r="G1174" s="21">
        <v>1</v>
      </c>
      <c r="H1174" s="72">
        <v>0</v>
      </c>
      <c r="I1174" s="39"/>
    </row>
    <row r="1175" spans="1:9" x14ac:dyDescent="0.3">
      <c r="A1175" s="4" t="s">
        <v>749</v>
      </c>
      <c r="B1175" s="13"/>
      <c r="C1175" s="13" t="s">
        <v>1378</v>
      </c>
      <c r="D1175" s="101" t="s">
        <v>2177</v>
      </c>
      <c r="E1175" s="102"/>
      <c r="F1175" s="13" t="s">
        <v>2386</v>
      </c>
      <c r="G1175" s="21">
        <v>1</v>
      </c>
      <c r="H1175" s="72">
        <v>0</v>
      </c>
      <c r="I1175" s="39"/>
    </row>
    <row r="1176" spans="1:9" x14ac:dyDescent="0.3">
      <c r="A1176" s="66"/>
      <c r="B1176" s="14"/>
      <c r="C1176" s="14" t="s">
        <v>1379</v>
      </c>
      <c r="D1176" s="103" t="s">
        <v>2178</v>
      </c>
      <c r="E1176" s="104"/>
      <c r="F1176" s="14"/>
      <c r="G1176" s="31"/>
      <c r="H1176" s="36"/>
      <c r="I1176" s="39"/>
    </row>
    <row r="1177" spans="1:9" x14ac:dyDescent="0.3">
      <c r="A1177" s="4" t="s">
        <v>750</v>
      </c>
      <c r="B1177" s="13"/>
      <c r="C1177" s="13" t="s">
        <v>1380</v>
      </c>
      <c r="D1177" s="101" t="s">
        <v>2179</v>
      </c>
      <c r="E1177" s="102"/>
      <c r="F1177" s="13" t="s">
        <v>2384</v>
      </c>
      <c r="G1177" s="21">
        <v>18</v>
      </c>
      <c r="H1177" s="72">
        <v>0</v>
      </c>
      <c r="I1177" s="39"/>
    </row>
    <row r="1178" spans="1:9" x14ac:dyDescent="0.3">
      <c r="A1178" s="4" t="s">
        <v>751</v>
      </c>
      <c r="B1178" s="13"/>
      <c r="C1178" s="13" t="s">
        <v>1381</v>
      </c>
      <c r="D1178" s="101" t="s">
        <v>2180</v>
      </c>
      <c r="E1178" s="102"/>
      <c r="F1178" s="13" t="s">
        <v>2384</v>
      </c>
      <c r="G1178" s="21">
        <v>1</v>
      </c>
      <c r="H1178" s="72">
        <v>0</v>
      </c>
      <c r="I1178" s="39"/>
    </row>
    <row r="1179" spans="1:9" x14ac:dyDescent="0.3">
      <c r="A1179" s="4" t="s">
        <v>752</v>
      </c>
      <c r="B1179" s="13"/>
      <c r="C1179" s="13" t="s">
        <v>1382</v>
      </c>
      <c r="D1179" s="101" t="s">
        <v>2181</v>
      </c>
      <c r="E1179" s="102"/>
      <c r="F1179" s="13" t="s">
        <v>2384</v>
      </c>
      <c r="G1179" s="21">
        <v>12</v>
      </c>
      <c r="H1179" s="72">
        <v>0</v>
      </c>
      <c r="I1179" s="39"/>
    </row>
    <row r="1180" spans="1:9" x14ac:dyDescent="0.3">
      <c r="A1180" s="4" t="s">
        <v>753</v>
      </c>
      <c r="B1180" s="13"/>
      <c r="C1180" s="13" t="s">
        <v>1383</v>
      </c>
      <c r="D1180" s="101" t="s">
        <v>2182</v>
      </c>
      <c r="E1180" s="102"/>
      <c r="F1180" s="13" t="s">
        <v>2384</v>
      </c>
      <c r="G1180" s="21">
        <v>29</v>
      </c>
      <c r="H1180" s="72">
        <v>0</v>
      </c>
      <c r="I1180" s="39"/>
    </row>
    <row r="1181" spans="1:9" x14ac:dyDescent="0.3">
      <c r="A1181" s="4" t="s">
        <v>754</v>
      </c>
      <c r="B1181" s="13"/>
      <c r="C1181" s="13" t="s">
        <v>1384</v>
      </c>
      <c r="D1181" s="101" t="s">
        <v>2183</v>
      </c>
      <c r="E1181" s="102"/>
      <c r="F1181" s="13" t="s">
        <v>2384</v>
      </c>
      <c r="G1181" s="21">
        <v>10</v>
      </c>
      <c r="H1181" s="72">
        <v>0</v>
      </c>
      <c r="I1181" s="39"/>
    </row>
    <row r="1182" spans="1:9" x14ac:dyDescent="0.3">
      <c r="A1182" s="4" t="s">
        <v>755</v>
      </c>
      <c r="B1182" s="13"/>
      <c r="C1182" s="13" t="s">
        <v>1385</v>
      </c>
      <c r="D1182" s="101" t="s">
        <v>2184</v>
      </c>
      <c r="E1182" s="102"/>
      <c r="F1182" s="13" t="s">
        <v>2384</v>
      </c>
      <c r="G1182" s="21">
        <v>26</v>
      </c>
      <c r="H1182" s="72">
        <v>0</v>
      </c>
      <c r="I1182" s="39"/>
    </row>
    <row r="1183" spans="1:9" x14ac:dyDescent="0.3">
      <c r="A1183" s="4" t="s">
        <v>756</v>
      </c>
      <c r="B1183" s="13"/>
      <c r="C1183" s="13" t="s">
        <v>1386</v>
      </c>
      <c r="D1183" s="101" t="s">
        <v>2185</v>
      </c>
      <c r="E1183" s="102"/>
      <c r="F1183" s="13" t="s">
        <v>2384</v>
      </c>
      <c r="G1183" s="21">
        <v>19</v>
      </c>
      <c r="H1183" s="72">
        <v>0</v>
      </c>
      <c r="I1183" s="39"/>
    </row>
    <row r="1184" spans="1:9" x14ac:dyDescent="0.3">
      <c r="A1184" s="4" t="s">
        <v>757</v>
      </c>
      <c r="B1184" s="13"/>
      <c r="C1184" s="13" t="s">
        <v>1387</v>
      </c>
      <c r="D1184" s="101" t="s">
        <v>2186</v>
      </c>
      <c r="E1184" s="102"/>
      <c r="F1184" s="13" t="s">
        <v>2384</v>
      </c>
      <c r="G1184" s="21">
        <v>5</v>
      </c>
      <c r="H1184" s="72">
        <v>0</v>
      </c>
      <c r="I1184" s="39"/>
    </row>
    <row r="1185" spans="1:9" x14ac:dyDescent="0.3">
      <c r="A1185" s="4" t="s">
        <v>758</v>
      </c>
      <c r="B1185" s="13"/>
      <c r="C1185" s="13" t="s">
        <v>1388</v>
      </c>
      <c r="D1185" s="101" t="s">
        <v>2187</v>
      </c>
      <c r="E1185" s="102"/>
      <c r="F1185" s="13" t="s">
        <v>2384</v>
      </c>
      <c r="G1185" s="21">
        <v>31</v>
      </c>
      <c r="H1185" s="72">
        <v>0</v>
      </c>
      <c r="I1185" s="39"/>
    </row>
    <row r="1186" spans="1:9" x14ac:dyDescent="0.3">
      <c r="A1186" s="4" t="s">
        <v>759</v>
      </c>
      <c r="B1186" s="13"/>
      <c r="C1186" s="13" t="s">
        <v>1389</v>
      </c>
      <c r="D1186" s="101" t="s">
        <v>2188</v>
      </c>
      <c r="E1186" s="102"/>
      <c r="F1186" s="13" t="s">
        <v>2384</v>
      </c>
      <c r="G1186" s="21">
        <v>31</v>
      </c>
      <c r="H1186" s="72">
        <v>0</v>
      </c>
      <c r="I1186" s="39"/>
    </row>
    <row r="1187" spans="1:9" x14ac:dyDescent="0.3">
      <c r="A1187" s="4" t="s">
        <v>760</v>
      </c>
      <c r="B1187" s="13"/>
      <c r="C1187" s="13" t="s">
        <v>1390</v>
      </c>
      <c r="D1187" s="101" t="s">
        <v>2189</v>
      </c>
      <c r="E1187" s="102"/>
      <c r="F1187" s="13" t="s">
        <v>2384</v>
      </c>
      <c r="G1187" s="21">
        <v>31</v>
      </c>
      <c r="H1187" s="72">
        <v>0</v>
      </c>
      <c r="I1187" s="39"/>
    </row>
    <row r="1188" spans="1:9" x14ac:dyDescent="0.3">
      <c r="A1188" s="4" t="s">
        <v>761</v>
      </c>
      <c r="B1188" s="13"/>
      <c r="C1188" s="13" t="s">
        <v>1391</v>
      </c>
      <c r="D1188" s="101" t="s">
        <v>2190</v>
      </c>
      <c r="E1188" s="102"/>
      <c r="F1188" s="13" t="s">
        <v>2384</v>
      </c>
      <c r="G1188" s="21">
        <v>31</v>
      </c>
      <c r="H1188" s="72">
        <v>0</v>
      </c>
      <c r="I1188" s="39"/>
    </row>
    <row r="1189" spans="1:9" x14ac:dyDescent="0.3">
      <c r="A1189" s="4" t="s">
        <v>762</v>
      </c>
      <c r="B1189" s="13"/>
      <c r="C1189" s="13" t="s">
        <v>1392</v>
      </c>
      <c r="D1189" s="101" t="s">
        <v>2191</v>
      </c>
      <c r="E1189" s="102"/>
      <c r="F1189" s="13" t="s">
        <v>2384</v>
      </c>
      <c r="G1189" s="21">
        <v>62</v>
      </c>
      <c r="H1189" s="72">
        <v>0</v>
      </c>
      <c r="I1189" s="39"/>
    </row>
    <row r="1190" spans="1:9" x14ac:dyDescent="0.3">
      <c r="A1190" s="4" t="s">
        <v>763</v>
      </c>
      <c r="B1190" s="13"/>
      <c r="C1190" s="13" t="s">
        <v>1393</v>
      </c>
      <c r="D1190" s="101" t="s">
        <v>2192</v>
      </c>
      <c r="E1190" s="102"/>
      <c r="F1190" s="13" t="s">
        <v>2384</v>
      </c>
      <c r="G1190" s="21">
        <v>21</v>
      </c>
      <c r="H1190" s="72">
        <v>0</v>
      </c>
      <c r="I1190" s="39"/>
    </row>
    <row r="1191" spans="1:9" x14ac:dyDescent="0.3">
      <c r="A1191" s="4" t="s">
        <v>764</v>
      </c>
      <c r="B1191" s="13"/>
      <c r="C1191" s="13" t="s">
        <v>1394</v>
      </c>
      <c r="D1191" s="101" t="s">
        <v>2193</v>
      </c>
      <c r="E1191" s="102"/>
      <c r="F1191" s="13" t="s">
        <v>2384</v>
      </c>
      <c r="G1191" s="21">
        <v>11</v>
      </c>
      <c r="H1191" s="72">
        <v>0</v>
      </c>
      <c r="I1191" s="39"/>
    </row>
    <row r="1192" spans="1:9" x14ac:dyDescent="0.3">
      <c r="A1192" s="4" t="s">
        <v>765</v>
      </c>
      <c r="B1192" s="13"/>
      <c r="C1192" s="13" t="s">
        <v>1395</v>
      </c>
      <c r="D1192" s="101" t="s">
        <v>2194</v>
      </c>
      <c r="E1192" s="102"/>
      <c r="F1192" s="13" t="s">
        <v>2384</v>
      </c>
      <c r="G1192" s="21">
        <v>16</v>
      </c>
      <c r="H1192" s="72">
        <v>0</v>
      </c>
      <c r="I1192" s="39"/>
    </row>
    <row r="1193" spans="1:9" x14ac:dyDescent="0.3">
      <c r="A1193" s="4" t="s">
        <v>766</v>
      </c>
      <c r="B1193" s="13"/>
      <c r="C1193" s="13" t="s">
        <v>1396</v>
      </c>
      <c r="D1193" s="101" t="s">
        <v>2186</v>
      </c>
      <c r="E1193" s="102"/>
      <c r="F1193" s="13" t="s">
        <v>2384</v>
      </c>
      <c r="G1193" s="21">
        <v>2</v>
      </c>
      <c r="H1193" s="72">
        <v>0</v>
      </c>
      <c r="I1193" s="39"/>
    </row>
    <row r="1194" spans="1:9" x14ac:dyDescent="0.3">
      <c r="A1194" s="4" t="s">
        <v>767</v>
      </c>
      <c r="B1194" s="13"/>
      <c r="C1194" s="13" t="s">
        <v>1397</v>
      </c>
      <c r="D1194" s="101" t="s">
        <v>2187</v>
      </c>
      <c r="E1194" s="102"/>
      <c r="F1194" s="13" t="s">
        <v>2384</v>
      </c>
      <c r="G1194" s="21">
        <v>6</v>
      </c>
      <c r="H1194" s="72">
        <v>0</v>
      </c>
      <c r="I1194" s="39"/>
    </row>
    <row r="1195" spans="1:9" x14ac:dyDescent="0.3">
      <c r="A1195" s="4" t="s">
        <v>768</v>
      </c>
      <c r="B1195" s="13"/>
      <c r="C1195" s="13" t="s">
        <v>1398</v>
      </c>
      <c r="D1195" s="101" t="s">
        <v>2188</v>
      </c>
      <c r="E1195" s="102"/>
      <c r="F1195" s="13" t="s">
        <v>2384</v>
      </c>
      <c r="G1195" s="21">
        <v>6</v>
      </c>
      <c r="H1195" s="72">
        <v>0</v>
      </c>
      <c r="I1195" s="39"/>
    </row>
    <row r="1196" spans="1:9" x14ac:dyDescent="0.3">
      <c r="A1196" s="4" t="s">
        <v>769</v>
      </c>
      <c r="B1196" s="13"/>
      <c r="C1196" s="13" t="s">
        <v>1399</v>
      </c>
      <c r="D1196" s="101" t="s">
        <v>2195</v>
      </c>
      <c r="E1196" s="102"/>
      <c r="F1196" s="13" t="s">
        <v>2384</v>
      </c>
      <c r="G1196" s="21">
        <v>6</v>
      </c>
      <c r="H1196" s="72">
        <v>0</v>
      </c>
      <c r="I1196" s="39"/>
    </row>
    <row r="1197" spans="1:9" x14ac:dyDescent="0.3">
      <c r="A1197" s="4" t="s">
        <v>770</v>
      </c>
      <c r="B1197" s="13"/>
      <c r="C1197" s="13" t="s">
        <v>1400</v>
      </c>
      <c r="D1197" s="101" t="s">
        <v>2190</v>
      </c>
      <c r="E1197" s="102"/>
      <c r="F1197" s="13" t="s">
        <v>2384</v>
      </c>
      <c r="G1197" s="21">
        <v>6</v>
      </c>
      <c r="H1197" s="72">
        <v>0</v>
      </c>
      <c r="I1197" s="39"/>
    </row>
    <row r="1198" spans="1:9" x14ac:dyDescent="0.3">
      <c r="A1198" s="4" t="s">
        <v>771</v>
      </c>
      <c r="B1198" s="13"/>
      <c r="C1198" s="13" t="s">
        <v>1401</v>
      </c>
      <c r="D1198" s="101" t="s">
        <v>2191</v>
      </c>
      <c r="E1198" s="102"/>
      <c r="F1198" s="13" t="s">
        <v>2384</v>
      </c>
      <c r="G1198" s="21">
        <v>12</v>
      </c>
      <c r="H1198" s="72">
        <v>0</v>
      </c>
      <c r="I1198" s="39"/>
    </row>
    <row r="1199" spans="1:9" x14ac:dyDescent="0.3">
      <c r="A1199" s="4" t="s">
        <v>772</v>
      </c>
      <c r="B1199" s="13"/>
      <c r="C1199" s="13" t="s">
        <v>1402</v>
      </c>
      <c r="D1199" s="101" t="s">
        <v>2196</v>
      </c>
      <c r="E1199" s="102"/>
      <c r="F1199" s="13" t="s">
        <v>2384</v>
      </c>
      <c r="G1199" s="21">
        <v>7</v>
      </c>
      <c r="H1199" s="72">
        <v>0</v>
      </c>
      <c r="I1199" s="39"/>
    </row>
    <row r="1200" spans="1:9" x14ac:dyDescent="0.3">
      <c r="A1200" s="4" t="s">
        <v>773</v>
      </c>
      <c r="B1200" s="13"/>
      <c r="C1200" s="13" t="s">
        <v>1403</v>
      </c>
      <c r="D1200" s="101" t="s">
        <v>2192</v>
      </c>
      <c r="E1200" s="102"/>
      <c r="F1200" s="13" t="s">
        <v>2384</v>
      </c>
      <c r="G1200" s="21">
        <v>20</v>
      </c>
      <c r="H1200" s="72">
        <v>0</v>
      </c>
      <c r="I1200" s="39"/>
    </row>
    <row r="1201" spans="1:9" x14ac:dyDescent="0.3">
      <c r="A1201" s="4" t="s">
        <v>774</v>
      </c>
      <c r="B1201" s="13"/>
      <c r="C1201" s="13" t="s">
        <v>1404</v>
      </c>
      <c r="D1201" s="101" t="s">
        <v>2193</v>
      </c>
      <c r="E1201" s="102"/>
      <c r="F1201" s="13" t="s">
        <v>2384</v>
      </c>
      <c r="G1201" s="21">
        <v>50</v>
      </c>
      <c r="H1201" s="72">
        <v>0</v>
      </c>
      <c r="I1201" s="39"/>
    </row>
    <row r="1202" spans="1:9" x14ac:dyDescent="0.3">
      <c r="A1202" s="4" t="s">
        <v>775</v>
      </c>
      <c r="B1202" s="13"/>
      <c r="C1202" s="13" t="s">
        <v>1405</v>
      </c>
      <c r="D1202" s="101" t="s">
        <v>2194</v>
      </c>
      <c r="E1202" s="102"/>
      <c r="F1202" s="13" t="s">
        <v>2384</v>
      </c>
      <c r="G1202" s="21">
        <v>6</v>
      </c>
      <c r="H1202" s="72">
        <v>0</v>
      </c>
      <c r="I1202" s="39"/>
    </row>
    <row r="1203" spans="1:9" x14ac:dyDescent="0.3">
      <c r="A1203" s="4" t="s">
        <v>776</v>
      </c>
      <c r="B1203" s="13"/>
      <c r="C1203" s="13" t="s">
        <v>1406</v>
      </c>
      <c r="D1203" s="101" t="s">
        <v>2197</v>
      </c>
      <c r="E1203" s="102"/>
      <c r="F1203" s="13" t="s">
        <v>2384</v>
      </c>
      <c r="G1203" s="21">
        <v>4</v>
      </c>
      <c r="H1203" s="72">
        <v>0</v>
      </c>
      <c r="I1203" s="39"/>
    </row>
    <row r="1204" spans="1:9" x14ac:dyDescent="0.3">
      <c r="A1204" s="4" t="s">
        <v>777</v>
      </c>
      <c r="B1204" s="13"/>
      <c r="C1204" s="13" t="s">
        <v>1407</v>
      </c>
      <c r="D1204" s="101" t="s">
        <v>2187</v>
      </c>
      <c r="E1204" s="102"/>
      <c r="F1204" s="13" t="s">
        <v>2384</v>
      </c>
      <c r="G1204" s="21">
        <v>24</v>
      </c>
      <c r="H1204" s="72">
        <v>0</v>
      </c>
      <c r="I1204" s="39"/>
    </row>
    <row r="1205" spans="1:9" x14ac:dyDescent="0.3">
      <c r="A1205" s="4" t="s">
        <v>778</v>
      </c>
      <c r="B1205" s="13"/>
      <c r="C1205" s="13" t="s">
        <v>1408</v>
      </c>
      <c r="D1205" s="101" t="s">
        <v>2188</v>
      </c>
      <c r="E1205" s="102"/>
      <c r="F1205" s="13" t="s">
        <v>2384</v>
      </c>
      <c r="G1205" s="21">
        <v>24</v>
      </c>
      <c r="H1205" s="72">
        <v>0</v>
      </c>
      <c r="I1205" s="39"/>
    </row>
    <row r="1206" spans="1:9" x14ac:dyDescent="0.3">
      <c r="A1206" s="4" t="s">
        <v>779</v>
      </c>
      <c r="B1206" s="13"/>
      <c r="C1206" s="13" t="s">
        <v>1409</v>
      </c>
      <c r="D1206" s="101" t="s">
        <v>2195</v>
      </c>
      <c r="E1206" s="102"/>
      <c r="F1206" s="13" t="s">
        <v>2384</v>
      </c>
      <c r="G1206" s="21">
        <v>24</v>
      </c>
      <c r="H1206" s="72">
        <v>0</v>
      </c>
      <c r="I1206" s="39"/>
    </row>
    <row r="1207" spans="1:9" x14ac:dyDescent="0.3">
      <c r="A1207" s="4" t="s">
        <v>780</v>
      </c>
      <c r="B1207" s="13"/>
      <c r="C1207" s="13" t="s">
        <v>1410</v>
      </c>
      <c r="D1207" s="101" t="s">
        <v>2190</v>
      </c>
      <c r="E1207" s="102"/>
      <c r="F1207" s="13" t="s">
        <v>2384</v>
      </c>
      <c r="G1207" s="21">
        <v>24</v>
      </c>
      <c r="H1207" s="72">
        <v>0</v>
      </c>
      <c r="I1207" s="39"/>
    </row>
    <row r="1208" spans="1:9" x14ac:dyDescent="0.3">
      <c r="A1208" s="4" t="s">
        <v>781</v>
      </c>
      <c r="B1208" s="13"/>
      <c r="C1208" s="13" t="s">
        <v>1411</v>
      </c>
      <c r="D1208" s="101" t="s">
        <v>2198</v>
      </c>
      <c r="E1208" s="102"/>
      <c r="F1208" s="13" t="s">
        <v>2384</v>
      </c>
      <c r="G1208" s="21">
        <v>48</v>
      </c>
      <c r="H1208" s="72">
        <v>0</v>
      </c>
      <c r="I1208" s="39"/>
    </row>
    <row r="1209" spans="1:9" x14ac:dyDescent="0.3">
      <c r="A1209" s="4" t="s">
        <v>782</v>
      </c>
      <c r="B1209" s="13"/>
      <c r="C1209" s="13" t="s">
        <v>1412</v>
      </c>
      <c r="D1209" s="101" t="s">
        <v>2199</v>
      </c>
      <c r="E1209" s="102"/>
      <c r="F1209" s="13" t="s">
        <v>2384</v>
      </c>
      <c r="G1209" s="21">
        <v>6</v>
      </c>
      <c r="H1209" s="72">
        <v>0</v>
      </c>
      <c r="I1209" s="39"/>
    </row>
    <row r="1210" spans="1:9" x14ac:dyDescent="0.3">
      <c r="A1210" s="4" t="s">
        <v>783</v>
      </c>
      <c r="B1210" s="13"/>
      <c r="C1210" s="13" t="s">
        <v>1413</v>
      </c>
      <c r="D1210" s="101" t="s">
        <v>2200</v>
      </c>
      <c r="E1210" s="102"/>
      <c r="F1210" s="13" t="s">
        <v>2384</v>
      </c>
      <c r="G1210" s="21">
        <v>23</v>
      </c>
      <c r="H1210" s="72">
        <v>0</v>
      </c>
      <c r="I1210" s="39"/>
    </row>
    <row r="1211" spans="1:9" x14ac:dyDescent="0.3">
      <c r="A1211" s="4" t="s">
        <v>784</v>
      </c>
      <c r="B1211" s="13"/>
      <c r="C1211" s="13" t="s">
        <v>1414</v>
      </c>
      <c r="D1211" s="101" t="s">
        <v>2201</v>
      </c>
      <c r="E1211" s="102"/>
      <c r="F1211" s="13" t="s">
        <v>2384</v>
      </c>
      <c r="G1211" s="21">
        <v>110</v>
      </c>
      <c r="H1211" s="72">
        <v>0</v>
      </c>
      <c r="I1211" s="39"/>
    </row>
    <row r="1212" spans="1:9" x14ac:dyDescent="0.3">
      <c r="A1212" s="4" t="s">
        <v>785</v>
      </c>
      <c r="B1212" s="13"/>
      <c r="C1212" s="13" t="s">
        <v>1415</v>
      </c>
      <c r="D1212" s="101" t="s">
        <v>2202</v>
      </c>
      <c r="E1212" s="102"/>
      <c r="F1212" s="13" t="s">
        <v>2384</v>
      </c>
      <c r="G1212" s="21">
        <v>14</v>
      </c>
      <c r="H1212" s="72">
        <v>0</v>
      </c>
      <c r="I1212" s="39"/>
    </row>
    <row r="1213" spans="1:9" x14ac:dyDescent="0.3">
      <c r="A1213" s="4" t="s">
        <v>786</v>
      </c>
      <c r="B1213" s="13"/>
      <c r="C1213" s="13" t="s">
        <v>1416</v>
      </c>
      <c r="D1213" s="101" t="s">
        <v>2203</v>
      </c>
      <c r="E1213" s="102"/>
      <c r="F1213" s="13" t="s">
        <v>2384</v>
      </c>
      <c r="G1213" s="21">
        <v>33</v>
      </c>
      <c r="H1213" s="72">
        <v>0</v>
      </c>
      <c r="I1213" s="39"/>
    </row>
    <row r="1214" spans="1:9" x14ac:dyDescent="0.3">
      <c r="A1214" s="4" t="s">
        <v>787</v>
      </c>
      <c r="B1214" s="13"/>
      <c r="C1214" s="13" t="s">
        <v>1417</v>
      </c>
      <c r="D1214" s="101" t="s">
        <v>2204</v>
      </c>
      <c r="E1214" s="102"/>
      <c r="F1214" s="13" t="s">
        <v>2384</v>
      </c>
      <c r="G1214" s="21">
        <v>284</v>
      </c>
      <c r="H1214" s="72">
        <v>0</v>
      </c>
      <c r="I1214" s="39"/>
    </row>
    <row r="1215" spans="1:9" x14ac:dyDescent="0.3">
      <c r="A1215" s="4" t="s">
        <v>788</v>
      </c>
      <c r="B1215" s="13"/>
      <c r="C1215" s="13" t="s">
        <v>1418</v>
      </c>
      <c r="D1215" s="101" t="s">
        <v>2205</v>
      </c>
      <c r="E1215" s="102"/>
      <c r="F1215" s="13" t="s">
        <v>2384</v>
      </c>
      <c r="G1215" s="21">
        <v>113</v>
      </c>
      <c r="H1215" s="72">
        <v>0</v>
      </c>
      <c r="I1215" s="39"/>
    </row>
    <row r="1216" spans="1:9" x14ac:dyDescent="0.3">
      <c r="A1216" s="4" t="s">
        <v>789</v>
      </c>
      <c r="B1216" s="13"/>
      <c r="C1216" s="13" t="s">
        <v>1419</v>
      </c>
      <c r="D1216" s="101" t="s">
        <v>2206</v>
      </c>
      <c r="E1216" s="102"/>
      <c r="F1216" s="13" t="s">
        <v>2386</v>
      </c>
      <c r="G1216" s="21">
        <v>1</v>
      </c>
      <c r="H1216" s="72">
        <v>0</v>
      </c>
      <c r="I1216" s="39"/>
    </row>
    <row r="1217" spans="1:9" x14ac:dyDescent="0.3">
      <c r="A1217" s="4" t="s">
        <v>790</v>
      </c>
      <c r="B1217" s="13"/>
      <c r="C1217" s="13" t="s">
        <v>1420</v>
      </c>
      <c r="D1217" s="101" t="s">
        <v>2207</v>
      </c>
      <c r="E1217" s="102"/>
      <c r="F1217" s="13" t="s">
        <v>2386</v>
      </c>
      <c r="G1217" s="21">
        <v>1</v>
      </c>
      <c r="H1217" s="72">
        <v>0</v>
      </c>
      <c r="I1217" s="39"/>
    </row>
    <row r="1218" spans="1:9" x14ac:dyDescent="0.3">
      <c r="A1218" s="4" t="s">
        <v>791</v>
      </c>
      <c r="B1218" s="13"/>
      <c r="C1218" s="13" t="s">
        <v>1421</v>
      </c>
      <c r="D1218" s="101" t="s">
        <v>2208</v>
      </c>
      <c r="E1218" s="102"/>
      <c r="F1218" s="13" t="s">
        <v>2386</v>
      </c>
      <c r="G1218" s="21">
        <v>1</v>
      </c>
      <c r="H1218" s="72">
        <v>0</v>
      </c>
      <c r="I1218" s="39"/>
    </row>
    <row r="1219" spans="1:9" x14ac:dyDescent="0.3">
      <c r="A1219" s="4" t="s">
        <v>792</v>
      </c>
      <c r="B1219" s="13"/>
      <c r="C1219" s="13" t="s">
        <v>1422</v>
      </c>
      <c r="D1219" s="101" t="s">
        <v>2209</v>
      </c>
      <c r="E1219" s="102"/>
      <c r="F1219" s="13" t="s">
        <v>2386</v>
      </c>
      <c r="G1219" s="21">
        <v>1</v>
      </c>
      <c r="H1219" s="72">
        <v>0</v>
      </c>
      <c r="I1219" s="39"/>
    </row>
    <row r="1220" spans="1:9" x14ac:dyDescent="0.3">
      <c r="A1220" s="4" t="s">
        <v>793</v>
      </c>
      <c r="B1220" s="13"/>
      <c r="C1220" s="13" t="s">
        <v>1423</v>
      </c>
      <c r="D1220" s="101" t="s">
        <v>2210</v>
      </c>
      <c r="E1220" s="102"/>
      <c r="F1220" s="13" t="s">
        <v>2386</v>
      </c>
      <c r="G1220" s="21">
        <v>1</v>
      </c>
      <c r="H1220" s="72">
        <v>0</v>
      </c>
      <c r="I1220" s="39"/>
    </row>
    <row r="1221" spans="1:9" x14ac:dyDescent="0.3">
      <c r="A1221" s="4" t="s">
        <v>794</v>
      </c>
      <c r="B1221" s="13"/>
      <c r="C1221" s="13" t="s">
        <v>1424</v>
      </c>
      <c r="D1221" s="101" t="s">
        <v>2211</v>
      </c>
      <c r="E1221" s="102"/>
      <c r="F1221" s="13" t="s">
        <v>2386</v>
      </c>
      <c r="G1221" s="21">
        <v>1</v>
      </c>
      <c r="H1221" s="72">
        <v>0</v>
      </c>
      <c r="I1221" s="39"/>
    </row>
    <row r="1222" spans="1:9" x14ac:dyDescent="0.3">
      <c r="A1222" s="4" t="s">
        <v>795</v>
      </c>
      <c r="B1222" s="13"/>
      <c r="C1222" s="13" t="s">
        <v>1425</v>
      </c>
      <c r="D1222" s="101" t="s">
        <v>2212</v>
      </c>
      <c r="E1222" s="102"/>
      <c r="F1222" s="13" t="s">
        <v>2386</v>
      </c>
      <c r="G1222" s="21">
        <v>1</v>
      </c>
      <c r="H1222" s="72">
        <v>0</v>
      </c>
      <c r="I1222" s="39"/>
    </row>
    <row r="1223" spans="1:9" x14ac:dyDescent="0.3">
      <c r="A1223" s="4" t="s">
        <v>796</v>
      </c>
      <c r="B1223" s="13"/>
      <c r="C1223" s="13" t="s">
        <v>1426</v>
      </c>
      <c r="D1223" s="101" t="s">
        <v>2213</v>
      </c>
      <c r="E1223" s="102"/>
      <c r="F1223" s="13" t="s">
        <v>2386</v>
      </c>
      <c r="G1223" s="21">
        <v>1</v>
      </c>
      <c r="H1223" s="72">
        <v>0</v>
      </c>
      <c r="I1223" s="39"/>
    </row>
    <row r="1224" spans="1:9" x14ac:dyDescent="0.3">
      <c r="A1224" s="4" t="s">
        <v>797</v>
      </c>
      <c r="B1224" s="13"/>
      <c r="C1224" s="13" t="s">
        <v>1427</v>
      </c>
      <c r="D1224" s="101" t="s">
        <v>2214</v>
      </c>
      <c r="E1224" s="102"/>
      <c r="F1224" s="13" t="s">
        <v>2386</v>
      </c>
      <c r="G1224" s="21">
        <v>1</v>
      </c>
      <c r="H1224" s="72">
        <v>0</v>
      </c>
      <c r="I1224" s="39"/>
    </row>
    <row r="1225" spans="1:9" x14ac:dyDescent="0.3">
      <c r="A1225" s="4" t="s">
        <v>798</v>
      </c>
      <c r="B1225" s="13"/>
      <c r="C1225" s="13" t="s">
        <v>1428</v>
      </c>
      <c r="D1225" s="101" t="s">
        <v>2215</v>
      </c>
      <c r="E1225" s="102"/>
      <c r="F1225" s="13" t="s">
        <v>2386</v>
      </c>
      <c r="G1225" s="21">
        <v>1</v>
      </c>
      <c r="H1225" s="72">
        <v>0</v>
      </c>
      <c r="I1225" s="39"/>
    </row>
    <row r="1226" spans="1:9" x14ac:dyDescent="0.3">
      <c r="A1226" s="4" t="s">
        <v>799</v>
      </c>
      <c r="B1226" s="13"/>
      <c r="C1226" s="13" t="s">
        <v>1429</v>
      </c>
      <c r="D1226" s="101" t="s">
        <v>2216</v>
      </c>
      <c r="E1226" s="102"/>
      <c r="F1226" s="13" t="s">
        <v>2386</v>
      </c>
      <c r="G1226" s="21">
        <v>1</v>
      </c>
      <c r="H1226" s="72">
        <v>0</v>
      </c>
      <c r="I1226" s="39"/>
    </row>
    <row r="1227" spans="1:9" x14ac:dyDescent="0.3">
      <c r="A1227" s="4" t="s">
        <v>800</v>
      </c>
      <c r="B1227" s="13"/>
      <c r="C1227" s="13" t="s">
        <v>1430</v>
      </c>
      <c r="D1227" s="101" t="s">
        <v>2217</v>
      </c>
      <c r="E1227" s="102"/>
      <c r="F1227" s="13" t="s">
        <v>2386</v>
      </c>
      <c r="G1227" s="21">
        <v>1</v>
      </c>
      <c r="H1227" s="72">
        <v>0</v>
      </c>
      <c r="I1227" s="39"/>
    </row>
    <row r="1228" spans="1:9" x14ac:dyDescent="0.3">
      <c r="A1228" s="4" t="s">
        <v>801</v>
      </c>
      <c r="B1228" s="13"/>
      <c r="C1228" s="13" t="s">
        <v>1431</v>
      </c>
      <c r="D1228" s="101" t="s">
        <v>2218</v>
      </c>
      <c r="E1228" s="102"/>
      <c r="F1228" s="13" t="s">
        <v>2386</v>
      </c>
      <c r="G1228" s="21">
        <v>1</v>
      </c>
      <c r="H1228" s="72">
        <v>0</v>
      </c>
      <c r="I1228" s="39"/>
    </row>
    <row r="1229" spans="1:9" x14ac:dyDescent="0.3">
      <c r="A1229" s="66"/>
      <c r="B1229" s="14"/>
      <c r="C1229" s="14" t="s">
        <v>1439</v>
      </c>
      <c r="D1229" s="103" t="s">
        <v>2220</v>
      </c>
      <c r="E1229" s="104"/>
      <c r="F1229" s="14"/>
      <c r="G1229" s="31"/>
      <c r="H1229" s="36"/>
      <c r="I1229" s="39"/>
    </row>
    <row r="1230" spans="1:9" x14ac:dyDescent="0.3">
      <c r="A1230" s="4" t="s">
        <v>802</v>
      </c>
      <c r="B1230" s="13"/>
      <c r="C1230" s="13" t="s">
        <v>1440</v>
      </c>
      <c r="D1230" s="101" t="s">
        <v>2221</v>
      </c>
      <c r="E1230" s="102"/>
      <c r="F1230" s="13" t="s">
        <v>2384</v>
      </c>
      <c r="G1230" s="21">
        <v>4</v>
      </c>
      <c r="H1230" s="72">
        <v>0</v>
      </c>
      <c r="I1230" s="39"/>
    </row>
    <row r="1231" spans="1:9" x14ac:dyDescent="0.3">
      <c r="A1231" s="4" t="s">
        <v>803</v>
      </c>
      <c r="B1231" s="13"/>
      <c r="C1231" s="13" t="s">
        <v>1441</v>
      </c>
      <c r="D1231" s="101" t="s">
        <v>2222</v>
      </c>
      <c r="E1231" s="102"/>
      <c r="F1231" s="13" t="s">
        <v>2384</v>
      </c>
      <c r="G1231" s="21">
        <v>4</v>
      </c>
      <c r="H1231" s="72">
        <v>0</v>
      </c>
      <c r="I1231" s="39"/>
    </row>
    <row r="1232" spans="1:9" x14ac:dyDescent="0.3">
      <c r="A1232" s="4" t="s">
        <v>804</v>
      </c>
      <c r="B1232" s="13"/>
      <c r="C1232" s="13" t="s">
        <v>1442</v>
      </c>
      <c r="D1232" s="101" t="s">
        <v>2223</v>
      </c>
      <c r="E1232" s="102"/>
      <c r="F1232" s="13" t="s">
        <v>2384</v>
      </c>
      <c r="G1232" s="21">
        <v>4</v>
      </c>
      <c r="H1232" s="72">
        <v>0</v>
      </c>
      <c r="I1232" s="39"/>
    </row>
    <row r="1233" spans="1:9" x14ac:dyDescent="0.3">
      <c r="A1233" s="4" t="s">
        <v>805</v>
      </c>
      <c r="B1233" s="13"/>
      <c r="C1233" s="13" t="s">
        <v>1443</v>
      </c>
      <c r="D1233" s="101" t="s">
        <v>2224</v>
      </c>
      <c r="E1233" s="102"/>
      <c r="F1233" s="13" t="s">
        <v>2384</v>
      </c>
      <c r="G1233" s="21">
        <v>7</v>
      </c>
      <c r="H1233" s="72">
        <v>0</v>
      </c>
      <c r="I1233" s="39"/>
    </row>
    <row r="1234" spans="1:9" x14ac:dyDescent="0.3">
      <c r="A1234" s="4" t="s">
        <v>806</v>
      </c>
      <c r="B1234" s="13"/>
      <c r="C1234" s="13" t="s">
        <v>1444</v>
      </c>
      <c r="D1234" s="101" t="s">
        <v>2225</v>
      </c>
      <c r="E1234" s="102"/>
      <c r="F1234" s="13" t="s">
        <v>2384</v>
      </c>
      <c r="G1234" s="21">
        <v>7</v>
      </c>
      <c r="H1234" s="72">
        <v>0</v>
      </c>
      <c r="I1234" s="39"/>
    </row>
    <row r="1235" spans="1:9" x14ac:dyDescent="0.3">
      <c r="A1235" s="4" t="s">
        <v>807</v>
      </c>
      <c r="B1235" s="13"/>
      <c r="C1235" s="13" t="s">
        <v>1445</v>
      </c>
      <c r="D1235" s="101" t="s">
        <v>2226</v>
      </c>
      <c r="E1235" s="102"/>
      <c r="F1235" s="13" t="s">
        <v>2384</v>
      </c>
      <c r="G1235" s="21">
        <v>84</v>
      </c>
      <c r="H1235" s="72">
        <v>0</v>
      </c>
      <c r="I1235" s="39"/>
    </row>
    <row r="1236" spans="1:9" x14ac:dyDescent="0.3">
      <c r="A1236" s="4" t="s">
        <v>808</v>
      </c>
      <c r="B1236" s="13"/>
      <c r="C1236" s="13" t="s">
        <v>1446</v>
      </c>
      <c r="D1236" s="101" t="s">
        <v>2227</v>
      </c>
      <c r="E1236" s="102"/>
      <c r="F1236" s="13" t="s">
        <v>2384</v>
      </c>
      <c r="G1236" s="21">
        <v>84</v>
      </c>
      <c r="H1236" s="72">
        <v>0</v>
      </c>
      <c r="I1236" s="39"/>
    </row>
    <row r="1237" spans="1:9" x14ac:dyDescent="0.3">
      <c r="A1237" s="4" t="s">
        <v>809</v>
      </c>
      <c r="B1237" s="13"/>
      <c r="C1237" s="13" t="s">
        <v>1447</v>
      </c>
      <c r="D1237" s="101" t="s">
        <v>2228</v>
      </c>
      <c r="E1237" s="102"/>
      <c r="F1237" s="13" t="s">
        <v>2384</v>
      </c>
      <c r="G1237" s="21">
        <v>84</v>
      </c>
      <c r="H1237" s="72">
        <v>0</v>
      </c>
      <c r="I1237" s="39"/>
    </row>
    <row r="1238" spans="1:9" x14ac:dyDescent="0.3">
      <c r="A1238" s="4" t="s">
        <v>810</v>
      </c>
      <c r="B1238" s="13"/>
      <c r="C1238" s="13" t="s">
        <v>1448</v>
      </c>
      <c r="D1238" s="101" t="s">
        <v>2229</v>
      </c>
      <c r="E1238" s="102"/>
      <c r="F1238" s="13" t="s">
        <v>2384</v>
      </c>
      <c r="G1238" s="21">
        <v>5</v>
      </c>
      <c r="H1238" s="72">
        <v>0</v>
      </c>
      <c r="I1238" s="39"/>
    </row>
    <row r="1239" spans="1:9" x14ac:dyDescent="0.3">
      <c r="A1239" s="4" t="s">
        <v>811</v>
      </c>
      <c r="B1239" s="13"/>
      <c r="C1239" s="13" t="s">
        <v>1449</v>
      </c>
      <c r="D1239" s="101" t="s">
        <v>2230</v>
      </c>
      <c r="E1239" s="102"/>
      <c r="F1239" s="13" t="s">
        <v>2384</v>
      </c>
      <c r="G1239" s="21">
        <v>84</v>
      </c>
      <c r="H1239" s="72">
        <v>0</v>
      </c>
      <c r="I1239" s="39"/>
    </row>
    <row r="1240" spans="1:9" x14ac:dyDescent="0.3">
      <c r="A1240" s="4" t="s">
        <v>812</v>
      </c>
      <c r="B1240" s="13"/>
      <c r="C1240" s="13" t="s">
        <v>1450</v>
      </c>
      <c r="D1240" s="101" t="s">
        <v>2231</v>
      </c>
      <c r="E1240" s="102"/>
      <c r="F1240" s="13" t="s">
        <v>2384</v>
      </c>
      <c r="G1240" s="21">
        <v>13</v>
      </c>
      <c r="H1240" s="72">
        <v>0</v>
      </c>
      <c r="I1240" s="39"/>
    </row>
    <row r="1241" spans="1:9" x14ac:dyDescent="0.3">
      <c r="A1241" s="4" t="s">
        <v>813</v>
      </c>
      <c r="B1241" s="13"/>
      <c r="C1241" s="13" t="s">
        <v>1451</v>
      </c>
      <c r="D1241" s="101" t="s">
        <v>2232</v>
      </c>
      <c r="E1241" s="102"/>
      <c r="F1241" s="13" t="s">
        <v>2384</v>
      </c>
      <c r="G1241" s="21">
        <v>8</v>
      </c>
      <c r="H1241" s="72">
        <v>0</v>
      </c>
      <c r="I1241" s="39"/>
    </row>
    <row r="1242" spans="1:9" x14ac:dyDescent="0.3">
      <c r="A1242" s="4" t="s">
        <v>814</v>
      </c>
      <c r="B1242" s="13"/>
      <c r="C1242" s="13" t="s">
        <v>1452</v>
      </c>
      <c r="D1242" s="101" t="s">
        <v>2233</v>
      </c>
      <c r="E1242" s="102"/>
      <c r="F1242" s="13" t="s">
        <v>2384</v>
      </c>
      <c r="G1242" s="21">
        <v>20</v>
      </c>
      <c r="H1242" s="72">
        <v>0</v>
      </c>
      <c r="I1242" s="39"/>
    </row>
    <row r="1243" spans="1:9" x14ac:dyDescent="0.3">
      <c r="A1243" s="4" t="s">
        <v>815</v>
      </c>
      <c r="B1243" s="13"/>
      <c r="C1243" s="13" t="s">
        <v>1453</v>
      </c>
      <c r="D1243" s="101" t="s">
        <v>2234</v>
      </c>
      <c r="E1243" s="102"/>
      <c r="F1243" s="13" t="s">
        <v>2384</v>
      </c>
      <c r="G1243" s="21">
        <v>11</v>
      </c>
      <c r="H1243" s="72">
        <v>0</v>
      </c>
      <c r="I1243" s="39"/>
    </row>
    <row r="1244" spans="1:9" x14ac:dyDescent="0.3">
      <c r="A1244" s="4" t="s">
        <v>816</v>
      </c>
      <c r="B1244" s="13"/>
      <c r="C1244" s="13" t="s">
        <v>1454</v>
      </c>
      <c r="D1244" s="101" t="s">
        <v>2235</v>
      </c>
      <c r="E1244" s="102"/>
      <c r="F1244" s="13" t="s">
        <v>2384</v>
      </c>
      <c r="G1244" s="21">
        <v>28</v>
      </c>
      <c r="H1244" s="72">
        <v>0</v>
      </c>
      <c r="I1244" s="39"/>
    </row>
    <row r="1245" spans="1:9" x14ac:dyDescent="0.3">
      <c r="A1245" s="4" t="s">
        <v>817</v>
      </c>
      <c r="B1245" s="13"/>
      <c r="C1245" s="13" t="s">
        <v>1455</v>
      </c>
      <c r="D1245" s="101" t="s">
        <v>2236</v>
      </c>
      <c r="E1245" s="102"/>
      <c r="F1245" s="13" t="s">
        <v>2384</v>
      </c>
      <c r="G1245" s="21">
        <v>155</v>
      </c>
      <c r="H1245" s="72">
        <v>0</v>
      </c>
      <c r="I1245" s="39"/>
    </row>
    <row r="1246" spans="1:9" x14ac:dyDescent="0.3">
      <c r="A1246" s="4" t="s">
        <v>818</v>
      </c>
      <c r="B1246" s="13"/>
      <c r="C1246" s="13" t="s">
        <v>1456</v>
      </c>
      <c r="D1246" s="101" t="s">
        <v>2237</v>
      </c>
      <c r="E1246" s="102"/>
      <c r="F1246" s="13" t="s">
        <v>2384</v>
      </c>
      <c r="G1246" s="21">
        <v>9</v>
      </c>
      <c r="H1246" s="72">
        <v>0</v>
      </c>
      <c r="I1246" s="39"/>
    </row>
    <row r="1247" spans="1:9" x14ac:dyDescent="0.3">
      <c r="A1247" s="4" t="s">
        <v>819</v>
      </c>
      <c r="B1247" s="13"/>
      <c r="C1247" s="13" t="s">
        <v>1457</v>
      </c>
      <c r="D1247" s="101" t="s">
        <v>2238</v>
      </c>
      <c r="E1247" s="102"/>
      <c r="F1247" s="13" t="s">
        <v>2384</v>
      </c>
      <c r="G1247" s="21">
        <v>1</v>
      </c>
      <c r="H1247" s="72">
        <v>0</v>
      </c>
      <c r="I1247" s="39"/>
    </row>
    <row r="1248" spans="1:9" x14ac:dyDescent="0.3">
      <c r="A1248" s="4" t="s">
        <v>820</v>
      </c>
      <c r="B1248" s="13"/>
      <c r="C1248" s="13" t="s">
        <v>1458</v>
      </c>
      <c r="D1248" s="101" t="s">
        <v>2239</v>
      </c>
      <c r="E1248" s="102"/>
      <c r="F1248" s="13" t="s">
        <v>2384</v>
      </c>
      <c r="G1248" s="21">
        <v>8</v>
      </c>
      <c r="H1248" s="72">
        <v>0</v>
      </c>
      <c r="I1248" s="39"/>
    </row>
    <row r="1249" spans="1:9" x14ac:dyDescent="0.3">
      <c r="A1249" s="4" t="s">
        <v>821</v>
      </c>
      <c r="B1249" s="13"/>
      <c r="C1249" s="13" t="s">
        <v>1459</v>
      </c>
      <c r="D1249" s="101" t="s">
        <v>2240</v>
      </c>
      <c r="E1249" s="102"/>
      <c r="F1249" s="13" t="s">
        <v>2386</v>
      </c>
      <c r="G1249" s="21">
        <v>1</v>
      </c>
      <c r="H1249" s="72">
        <v>0</v>
      </c>
      <c r="I1249" s="39"/>
    </row>
    <row r="1250" spans="1:9" x14ac:dyDescent="0.3">
      <c r="A1250" s="4" t="s">
        <v>822</v>
      </c>
      <c r="B1250" s="13"/>
      <c r="C1250" s="13" t="s">
        <v>1460</v>
      </c>
      <c r="D1250" s="101" t="s">
        <v>2241</v>
      </c>
      <c r="E1250" s="102"/>
      <c r="F1250" s="13" t="s">
        <v>2386</v>
      </c>
      <c r="G1250" s="21">
        <v>1</v>
      </c>
      <c r="H1250" s="72">
        <v>0</v>
      </c>
      <c r="I1250" s="39"/>
    </row>
    <row r="1251" spans="1:9" x14ac:dyDescent="0.3">
      <c r="A1251" s="4" t="s">
        <v>823</v>
      </c>
      <c r="B1251" s="13"/>
      <c r="C1251" s="13" t="s">
        <v>1461</v>
      </c>
      <c r="D1251" s="101" t="s">
        <v>2242</v>
      </c>
      <c r="E1251" s="102"/>
      <c r="F1251" s="13" t="s">
        <v>2386</v>
      </c>
      <c r="G1251" s="21">
        <v>1</v>
      </c>
      <c r="H1251" s="72">
        <v>0</v>
      </c>
      <c r="I1251" s="39"/>
    </row>
    <row r="1252" spans="1:9" x14ac:dyDescent="0.3">
      <c r="A1252" s="4" t="s">
        <v>824</v>
      </c>
      <c r="B1252" s="13"/>
      <c r="C1252" s="13" t="s">
        <v>1462</v>
      </c>
      <c r="D1252" s="101" t="s">
        <v>2243</v>
      </c>
      <c r="E1252" s="102"/>
      <c r="F1252" s="13" t="s">
        <v>2385</v>
      </c>
      <c r="G1252" s="21">
        <v>8808</v>
      </c>
      <c r="H1252" s="72">
        <v>0</v>
      </c>
      <c r="I1252" s="39"/>
    </row>
    <row r="1253" spans="1:9" x14ac:dyDescent="0.3">
      <c r="A1253" s="4" t="s">
        <v>825</v>
      </c>
      <c r="B1253" s="13"/>
      <c r="C1253" s="13" t="s">
        <v>1463</v>
      </c>
      <c r="D1253" s="101" t="s">
        <v>2244</v>
      </c>
      <c r="E1253" s="102"/>
      <c r="F1253" s="13" t="s">
        <v>2385</v>
      </c>
      <c r="G1253" s="21">
        <v>142</v>
      </c>
      <c r="H1253" s="72">
        <v>0</v>
      </c>
      <c r="I1253" s="39"/>
    </row>
    <row r="1254" spans="1:9" x14ac:dyDescent="0.3">
      <c r="A1254" s="4" t="s">
        <v>826</v>
      </c>
      <c r="B1254" s="13"/>
      <c r="C1254" s="13" t="s">
        <v>1464</v>
      </c>
      <c r="D1254" s="101" t="s">
        <v>2245</v>
      </c>
      <c r="E1254" s="102"/>
      <c r="F1254" s="13" t="s">
        <v>2385</v>
      </c>
      <c r="G1254" s="21">
        <v>150</v>
      </c>
      <c r="H1254" s="72">
        <v>0</v>
      </c>
      <c r="I1254" s="39"/>
    </row>
    <row r="1255" spans="1:9" x14ac:dyDescent="0.3">
      <c r="A1255" s="4" t="s">
        <v>827</v>
      </c>
      <c r="B1255" s="13"/>
      <c r="C1255" s="13" t="s">
        <v>1465</v>
      </c>
      <c r="D1255" s="101" t="s">
        <v>2246</v>
      </c>
      <c r="E1255" s="102"/>
      <c r="F1255" s="13" t="s">
        <v>2385</v>
      </c>
      <c r="G1255" s="21">
        <v>2500</v>
      </c>
      <c r="H1255" s="72">
        <v>0</v>
      </c>
      <c r="I1255" s="39"/>
    </row>
    <row r="1256" spans="1:9" x14ac:dyDescent="0.3">
      <c r="A1256" s="4" t="s">
        <v>828</v>
      </c>
      <c r="B1256" s="13"/>
      <c r="C1256" s="13" t="s">
        <v>1466</v>
      </c>
      <c r="D1256" s="101" t="s">
        <v>2247</v>
      </c>
      <c r="E1256" s="102"/>
      <c r="F1256" s="13" t="s">
        <v>2385</v>
      </c>
      <c r="G1256" s="21">
        <v>1500</v>
      </c>
      <c r="H1256" s="72">
        <v>0</v>
      </c>
      <c r="I1256" s="39"/>
    </row>
    <row r="1257" spans="1:9" x14ac:dyDescent="0.3">
      <c r="A1257" s="4" t="s">
        <v>829</v>
      </c>
      <c r="B1257" s="13"/>
      <c r="C1257" s="13" t="s">
        <v>1467</v>
      </c>
      <c r="D1257" s="101" t="s">
        <v>2248</v>
      </c>
      <c r="E1257" s="102"/>
      <c r="F1257" s="13" t="s">
        <v>2386</v>
      </c>
      <c r="G1257" s="21">
        <v>1</v>
      </c>
      <c r="H1257" s="72">
        <v>0</v>
      </c>
      <c r="I1257" s="39"/>
    </row>
    <row r="1258" spans="1:9" x14ac:dyDescent="0.3">
      <c r="A1258" s="4" t="s">
        <v>830</v>
      </c>
      <c r="B1258" s="13"/>
      <c r="C1258" s="13" t="s">
        <v>1468</v>
      </c>
      <c r="D1258" s="101" t="s">
        <v>1651</v>
      </c>
      <c r="E1258" s="102"/>
      <c r="F1258" s="13" t="s">
        <v>2386</v>
      </c>
      <c r="G1258" s="21">
        <v>1</v>
      </c>
      <c r="H1258" s="72">
        <v>0</v>
      </c>
      <c r="I1258" s="39"/>
    </row>
    <row r="1259" spans="1:9" x14ac:dyDescent="0.3">
      <c r="A1259" s="4" t="s">
        <v>831</v>
      </c>
      <c r="B1259" s="13"/>
      <c r="C1259" s="13" t="s">
        <v>1469</v>
      </c>
      <c r="D1259" s="101" t="s">
        <v>2249</v>
      </c>
      <c r="E1259" s="102"/>
      <c r="F1259" s="13" t="s">
        <v>2385</v>
      </c>
      <c r="G1259" s="21">
        <v>184</v>
      </c>
      <c r="H1259" s="72">
        <v>0</v>
      </c>
      <c r="I1259" s="39"/>
    </row>
    <row r="1260" spans="1:9" x14ac:dyDescent="0.3">
      <c r="A1260" s="4" t="s">
        <v>832</v>
      </c>
      <c r="B1260" s="13"/>
      <c r="C1260" s="13" t="s">
        <v>1470</v>
      </c>
      <c r="D1260" s="101" t="s">
        <v>2250</v>
      </c>
      <c r="E1260" s="102"/>
      <c r="F1260" s="13" t="s">
        <v>2385</v>
      </c>
      <c r="G1260" s="21">
        <v>72</v>
      </c>
      <c r="H1260" s="72">
        <v>0</v>
      </c>
      <c r="I1260" s="39"/>
    </row>
    <row r="1261" spans="1:9" x14ac:dyDescent="0.3">
      <c r="A1261" s="4" t="s">
        <v>833</v>
      </c>
      <c r="B1261" s="13"/>
      <c r="C1261" s="13" t="s">
        <v>1471</v>
      </c>
      <c r="D1261" s="101" t="s">
        <v>1653</v>
      </c>
      <c r="E1261" s="102"/>
      <c r="F1261" s="13" t="s">
        <v>2386</v>
      </c>
      <c r="G1261" s="21">
        <v>1</v>
      </c>
      <c r="H1261" s="72">
        <v>0</v>
      </c>
      <c r="I1261" s="39"/>
    </row>
    <row r="1262" spans="1:9" x14ac:dyDescent="0.3">
      <c r="A1262" s="4" t="s">
        <v>834</v>
      </c>
      <c r="B1262" s="13"/>
      <c r="C1262" s="13" t="s">
        <v>1472</v>
      </c>
      <c r="D1262" s="101" t="s">
        <v>1654</v>
      </c>
      <c r="E1262" s="102"/>
      <c r="F1262" s="13" t="s">
        <v>2386</v>
      </c>
      <c r="G1262" s="21">
        <v>1</v>
      </c>
      <c r="H1262" s="72">
        <v>0</v>
      </c>
      <c r="I1262" s="39"/>
    </row>
    <row r="1263" spans="1:9" x14ac:dyDescent="0.3">
      <c r="A1263" s="4" t="s">
        <v>835</v>
      </c>
      <c r="B1263" s="13"/>
      <c r="C1263" s="13" t="s">
        <v>1473</v>
      </c>
      <c r="D1263" s="101" t="s">
        <v>1655</v>
      </c>
      <c r="E1263" s="102"/>
      <c r="F1263" s="13" t="s">
        <v>2386</v>
      </c>
      <c r="G1263" s="21">
        <v>1</v>
      </c>
      <c r="H1263" s="72">
        <v>0</v>
      </c>
      <c r="I1263" s="39"/>
    </row>
    <row r="1264" spans="1:9" x14ac:dyDescent="0.3">
      <c r="A1264" s="4" t="s">
        <v>836</v>
      </c>
      <c r="B1264" s="13"/>
      <c r="C1264" s="13" t="s">
        <v>1474</v>
      </c>
      <c r="D1264" s="101" t="s">
        <v>2251</v>
      </c>
      <c r="E1264" s="102"/>
      <c r="F1264" s="13" t="s">
        <v>2386</v>
      </c>
      <c r="G1264" s="21">
        <v>1</v>
      </c>
      <c r="H1264" s="72">
        <v>0</v>
      </c>
      <c r="I1264" s="39"/>
    </row>
    <row r="1265" spans="1:9" x14ac:dyDescent="0.3">
      <c r="A1265" s="4" t="s">
        <v>837</v>
      </c>
      <c r="B1265" s="13"/>
      <c r="C1265" s="13" t="s">
        <v>1475</v>
      </c>
      <c r="D1265" s="101" t="s">
        <v>2252</v>
      </c>
      <c r="E1265" s="102"/>
      <c r="F1265" s="13" t="s">
        <v>2386</v>
      </c>
      <c r="G1265" s="21">
        <v>1</v>
      </c>
      <c r="H1265" s="72">
        <v>0</v>
      </c>
      <c r="I1265" s="39"/>
    </row>
    <row r="1266" spans="1:9" x14ac:dyDescent="0.3">
      <c r="A1266" s="4" t="s">
        <v>838</v>
      </c>
      <c r="B1266" s="13"/>
      <c r="C1266" s="13" t="s">
        <v>1476</v>
      </c>
      <c r="D1266" s="101" t="s">
        <v>1657</v>
      </c>
      <c r="E1266" s="102"/>
      <c r="F1266" s="13" t="s">
        <v>2386</v>
      </c>
      <c r="G1266" s="21">
        <v>1</v>
      </c>
      <c r="H1266" s="72">
        <v>0</v>
      </c>
      <c r="I1266" s="39"/>
    </row>
    <row r="1267" spans="1:9" x14ac:dyDescent="0.3">
      <c r="A1267" s="4" t="s">
        <v>839</v>
      </c>
      <c r="B1267" s="13"/>
      <c r="C1267" s="13" t="s">
        <v>1477</v>
      </c>
      <c r="D1267" s="101" t="s">
        <v>1658</v>
      </c>
      <c r="E1267" s="102"/>
      <c r="F1267" s="13" t="s">
        <v>2386</v>
      </c>
      <c r="G1267" s="21">
        <v>1</v>
      </c>
      <c r="H1267" s="72">
        <v>0</v>
      </c>
      <c r="I1267" s="39"/>
    </row>
    <row r="1268" spans="1:9" x14ac:dyDescent="0.3">
      <c r="A1268" s="4" t="s">
        <v>840</v>
      </c>
      <c r="B1268" s="13"/>
      <c r="C1268" s="13" t="s">
        <v>1478</v>
      </c>
      <c r="D1268" s="101" t="s">
        <v>1659</v>
      </c>
      <c r="E1268" s="102"/>
      <c r="F1268" s="13" t="s">
        <v>2386</v>
      </c>
      <c r="G1268" s="21">
        <v>1</v>
      </c>
      <c r="H1268" s="72">
        <v>0</v>
      </c>
      <c r="I1268" s="39"/>
    </row>
    <row r="1269" spans="1:9" x14ac:dyDescent="0.3">
      <c r="A1269" s="4" t="s">
        <v>841</v>
      </c>
      <c r="B1269" s="13"/>
      <c r="C1269" s="13" t="s">
        <v>1479</v>
      </c>
      <c r="D1269" s="101" t="s">
        <v>1660</v>
      </c>
      <c r="E1269" s="102"/>
      <c r="F1269" s="13" t="s">
        <v>2386</v>
      </c>
      <c r="G1269" s="21">
        <v>1</v>
      </c>
      <c r="H1269" s="72">
        <v>0</v>
      </c>
      <c r="I1269" s="39"/>
    </row>
    <row r="1270" spans="1:9" x14ac:dyDescent="0.3">
      <c r="A1270" s="4" t="s">
        <v>842</v>
      </c>
      <c r="B1270" s="13"/>
      <c r="C1270" s="13" t="s">
        <v>1480</v>
      </c>
      <c r="D1270" s="101" t="s">
        <v>1661</v>
      </c>
      <c r="E1270" s="102"/>
      <c r="F1270" s="13" t="s">
        <v>2386</v>
      </c>
      <c r="G1270" s="21">
        <v>1</v>
      </c>
      <c r="H1270" s="72">
        <v>0</v>
      </c>
      <c r="I1270" s="39"/>
    </row>
    <row r="1271" spans="1:9" x14ac:dyDescent="0.3">
      <c r="A1271" s="4" t="s">
        <v>843</v>
      </c>
      <c r="B1271" s="13"/>
      <c r="C1271" s="13" t="s">
        <v>1481</v>
      </c>
      <c r="D1271" s="101" t="s">
        <v>1662</v>
      </c>
      <c r="E1271" s="102"/>
      <c r="F1271" s="13" t="s">
        <v>2386</v>
      </c>
      <c r="G1271" s="21">
        <v>1</v>
      </c>
      <c r="H1271" s="72">
        <v>0</v>
      </c>
      <c r="I1271" s="39"/>
    </row>
    <row r="1272" spans="1:9" x14ac:dyDescent="0.3">
      <c r="A1272" s="4" t="s">
        <v>844</v>
      </c>
      <c r="B1272" s="13"/>
      <c r="C1272" s="13" t="s">
        <v>1482</v>
      </c>
      <c r="D1272" s="101" t="s">
        <v>1663</v>
      </c>
      <c r="E1272" s="102"/>
      <c r="F1272" s="13" t="s">
        <v>2386</v>
      </c>
      <c r="G1272" s="21">
        <v>1</v>
      </c>
      <c r="H1272" s="72">
        <v>0</v>
      </c>
      <c r="I1272" s="39"/>
    </row>
    <row r="1273" spans="1:9" x14ac:dyDescent="0.3">
      <c r="A1273" s="4" t="s">
        <v>845</v>
      </c>
      <c r="B1273" s="13"/>
      <c r="C1273" s="13" t="s">
        <v>1483</v>
      </c>
      <c r="D1273" s="101" t="s">
        <v>1664</v>
      </c>
      <c r="E1273" s="102"/>
      <c r="F1273" s="13" t="s">
        <v>2386</v>
      </c>
      <c r="G1273" s="21">
        <v>1</v>
      </c>
      <c r="H1273" s="72">
        <v>0</v>
      </c>
      <c r="I1273" s="39"/>
    </row>
    <row r="1274" spans="1:9" x14ac:dyDescent="0.3">
      <c r="A1274" s="4" t="s">
        <v>846</v>
      </c>
      <c r="B1274" s="13"/>
      <c r="C1274" s="13" t="s">
        <v>1484</v>
      </c>
      <c r="D1274" s="101" t="s">
        <v>1665</v>
      </c>
      <c r="E1274" s="102"/>
      <c r="F1274" s="13" t="s">
        <v>2386</v>
      </c>
      <c r="G1274" s="21">
        <v>1</v>
      </c>
      <c r="H1274" s="72">
        <v>0</v>
      </c>
      <c r="I1274" s="39"/>
    </row>
    <row r="1275" spans="1:9" x14ac:dyDescent="0.3">
      <c r="A1275" s="4" t="s">
        <v>847</v>
      </c>
      <c r="B1275" s="13"/>
      <c r="C1275" s="13" t="s">
        <v>1485</v>
      </c>
      <c r="D1275" s="101" t="s">
        <v>1666</v>
      </c>
      <c r="E1275" s="102"/>
      <c r="F1275" s="13" t="s">
        <v>2386</v>
      </c>
      <c r="G1275" s="21">
        <v>1</v>
      </c>
      <c r="H1275" s="72">
        <v>0</v>
      </c>
      <c r="I1275" s="39"/>
    </row>
    <row r="1276" spans="1:9" x14ac:dyDescent="0.3">
      <c r="A1276" s="4" t="s">
        <v>848</v>
      </c>
      <c r="B1276" s="13"/>
      <c r="C1276" s="13" t="s">
        <v>1486</v>
      </c>
      <c r="D1276" s="101" t="s">
        <v>1667</v>
      </c>
      <c r="E1276" s="102"/>
      <c r="F1276" s="13" t="s">
        <v>2386</v>
      </c>
      <c r="G1276" s="21">
        <v>1</v>
      </c>
      <c r="H1276" s="72">
        <v>0</v>
      </c>
      <c r="I1276" s="39"/>
    </row>
    <row r="1277" spans="1:9" x14ac:dyDescent="0.3">
      <c r="A1277" s="4" t="s">
        <v>849</v>
      </c>
      <c r="B1277" s="13"/>
      <c r="C1277" s="13" t="s">
        <v>1487</v>
      </c>
      <c r="D1277" s="101" t="s">
        <v>1668</v>
      </c>
      <c r="E1277" s="102"/>
      <c r="F1277" s="13" t="s">
        <v>2386</v>
      </c>
      <c r="G1277" s="21">
        <v>1</v>
      </c>
      <c r="H1277" s="72">
        <v>0</v>
      </c>
      <c r="I1277" s="39"/>
    </row>
    <row r="1278" spans="1:9" x14ac:dyDescent="0.3">
      <c r="A1278" s="4" t="s">
        <v>850</v>
      </c>
      <c r="B1278" s="13"/>
      <c r="C1278" s="13" t="s">
        <v>1488</v>
      </c>
      <c r="D1278" s="101" t="s">
        <v>1669</v>
      </c>
      <c r="E1278" s="102"/>
      <c r="F1278" s="13" t="s">
        <v>2386</v>
      </c>
      <c r="G1278" s="21">
        <v>1</v>
      </c>
      <c r="H1278" s="72">
        <v>0</v>
      </c>
      <c r="I1278" s="39"/>
    </row>
    <row r="1279" spans="1:9" x14ac:dyDescent="0.3">
      <c r="A1279" s="66"/>
      <c r="B1279" s="14"/>
      <c r="C1279" s="14" t="s">
        <v>1489</v>
      </c>
      <c r="D1279" s="103" t="s">
        <v>2253</v>
      </c>
      <c r="E1279" s="104"/>
      <c r="F1279" s="14"/>
      <c r="G1279" s="31"/>
      <c r="H1279" s="36"/>
      <c r="I1279" s="39"/>
    </row>
    <row r="1280" spans="1:9" x14ac:dyDescent="0.3">
      <c r="A1280" s="4" t="s">
        <v>851</v>
      </c>
      <c r="B1280" s="13"/>
      <c r="C1280" s="13" t="s">
        <v>1490</v>
      </c>
      <c r="D1280" s="101" t="s">
        <v>2254</v>
      </c>
      <c r="E1280" s="102"/>
      <c r="F1280" s="13" t="s">
        <v>2384</v>
      </c>
      <c r="G1280" s="21">
        <v>1</v>
      </c>
      <c r="H1280" s="72">
        <v>0</v>
      </c>
      <c r="I1280" s="39"/>
    </row>
    <row r="1281" spans="1:9" x14ac:dyDescent="0.3">
      <c r="A1281" s="4" t="s">
        <v>852</v>
      </c>
      <c r="B1281" s="13"/>
      <c r="C1281" s="13" t="s">
        <v>1491</v>
      </c>
      <c r="D1281" s="101" t="s">
        <v>2255</v>
      </c>
      <c r="E1281" s="102"/>
      <c r="F1281" s="13" t="s">
        <v>2384</v>
      </c>
      <c r="G1281" s="21">
        <v>1</v>
      </c>
      <c r="H1281" s="72">
        <v>0</v>
      </c>
      <c r="I1281" s="39"/>
    </row>
    <row r="1282" spans="1:9" x14ac:dyDescent="0.3">
      <c r="A1282" s="4" t="s">
        <v>853</v>
      </c>
      <c r="B1282" s="13"/>
      <c r="C1282" s="13" t="s">
        <v>1492</v>
      </c>
      <c r="D1282" s="101" t="s">
        <v>2256</v>
      </c>
      <c r="E1282" s="102"/>
      <c r="F1282" s="13" t="s">
        <v>2384</v>
      </c>
      <c r="G1282" s="21">
        <v>5</v>
      </c>
      <c r="H1282" s="72">
        <v>0</v>
      </c>
      <c r="I1282" s="39"/>
    </row>
    <row r="1283" spans="1:9" x14ac:dyDescent="0.3">
      <c r="A1283" s="4" t="s">
        <v>854</v>
      </c>
      <c r="B1283" s="13"/>
      <c r="C1283" s="13" t="s">
        <v>1493</v>
      </c>
      <c r="D1283" s="101" t="s">
        <v>2257</v>
      </c>
      <c r="E1283" s="102"/>
      <c r="F1283" s="13" t="s">
        <v>2384</v>
      </c>
      <c r="G1283" s="21">
        <v>1</v>
      </c>
      <c r="H1283" s="72">
        <v>0</v>
      </c>
      <c r="I1283" s="39"/>
    </row>
    <row r="1284" spans="1:9" x14ac:dyDescent="0.3">
      <c r="A1284" s="4" t="s">
        <v>855</v>
      </c>
      <c r="B1284" s="13"/>
      <c r="C1284" s="13" t="s">
        <v>1494</v>
      </c>
      <c r="D1284" s="101" t="s">
        <v>2258</v>
      </c>
      <c r="E1284" s="102"/>
      <c r="F1284" s="13" t="s">
        <v>2384</v>
      </c>
      <c r="G1284" s="21">
        <v>16</v>
      </c>
      <c r="H1284" s="72">
        <v>0</v>
      </c>
      <c r="I1284" s="39"/>
    </row>
    <row r="1285" spans="1:9" x14ac:dyDescent="0.3">
      <c r="A1285" s="4" t="s">
        <v>856</v>
      </c>
      <c r="B1285" s="13"/>
      <c r="C1285" s="13" t="s">
        <v>1495</v>
      </c>
      <c r="D1285" s="101" t="s">
        <v>2259</v>
      </c>
      <c r="E1285" s="102"/>
      <c r="F1285" s="13" t="s">
        <v>2384</v>
      </c>
      <c r="G1285" s="21">
        <v>1</v>
      </c>
      <c r="H1285" s="72">
        <v>0</v>
      </c>
      <c r="I1285" s="39"/>
    </row>
    <row r="1286" spans="1:9" x14ac:dyDescent="0.3">
      <c r="A1286" s="4" t="s">
        <v>857</v>
      </c>
      <c r="B1286" s="13"/>
      <c r="C1286" s="13" t="s">
        <v>1496</v>
      </c>
      <c r="D1286" s="101" t="s">
        <v>2260</v>
      </c>
      <c r="E1286" s="102"/>
      <c r="F1286" s="13" t="s">
        <v>2384</v>
      </c>
      <c r="G1286" s="21">
        <v>1</v>
      </c>
      <c r="H1286" s="72">
        <v>0</v>
      </c>
      <c r="I1286" s="39"/>
    </row>
    <row r="1287" spans="1:9" x14ac:dyDescent="0.3">
      <c r="A1287" s="4" t="s">
        <v>858</v>
      </c>
      <c r="B1287" s="13"/>
      <c r="C1287" s="13" t="s">
        <v>1497</v>
      </c>
      <c r="D1287" s="101" t="s">
        <v>2261</v>
      </c>
      <c r="E1287" s="102"/>
      <c r="F1287" s="13" t="s">
        <v>2384</v>
      </c>
      <c r="G1287" s="21">
        <v>5</v>
      </c>
      <c r="H1287" s="72">
        <v>0</v>
      </c>
      <c r="I1287" s="39"/>
    </row>
    <row r="1288" spans="1:9" x14ac:dyDescent="0.3">
      <c r="A1288" s="4" t="s">
        <v>859</v>
      </c>
      <c r="B1288" s="13"/>
      <c r="C1288" s="13" t="s">
        <v>1498</v>
      </c>
      <c r="D1288" s="101" t="s">
        <v>2261</v>
      </c>
      <c r="E1288" s="102"/>
      <c r="F1288" s="13" t="s">
        <v>2384</v>
      </c>
      <c r="G1288" s="21">
        <v>13</v>
      </c>
      <c r="H1288" s="72">
        <v>0</v>
      </c>
      <c r="I1288" s="39"/>
    </row>
    <row r="1289" spans="1:9" x14ac:dyDescent="0.3">
      <c r="A1289" s="4" t="s">
        <v>860</v>
      </c>
      <c r="B1289" s="13"/>
      <c r="C1289" s="13" t="s">
        <v>1499</v>
      </c>
      <c r="D1289" s="101" t="s">
        <v>2262</v>
      </c>
      <c r="E1289" s="102"/>
      <c r="F1289" s="13" t="s">
        <v>2384</v>
      </c>
      <c r="G1289" s="21">
        <v>19</v>
      </c>
      <c r="H1289" s="72">
        <v>0</v>
      </c>
      <c r="I1289" s="39"/>
    </row>
    <row r="1290" spans="1:9" x14ac:dyDescent="0.3">
      <c r="A1290" s="4" t="s">
        <v>861</v>
      </c>
      <c r="B1290" s="13"/>
      <c r="C1290" s="13" t="s">
        <v>1500</v>
      </c>
      <c r="D1290" s="101" t="s">
        <v>2263</v>
      </c>
      <c r="E1290" s="102"/>
      <c r="F1290" s="13" t="s">
        <v>2384</v>
      </c>
      <c r="G1290" s="21">
        <v>13</v>
      </c>
      <c r="H1290" s="72">
        <v>0</v>
      </c>
      <c r="I1290" s="39"/>
    </row>
    <row r="1291" spans="1:9" x14ac:dyDescent="0.3">
      <c r="A1291" s="4" t="s">
        <v>862</v>
      </c>
      <c r="B1291" s="13"/>
      <c r="C1291" s="13" t="s">
        <v>1501</v>
      </c>
      <c r="D1291" s="101" t="s">
        <v>2264</v>
      </c>
      <c r="E1291" s="102"/>
      <c r="F1291" s="13" t="s">
        <v>2384</v>
      </c>
      <c r="G1291" s="21">
        <v>34</v>
      </c>
      <c r="H1291" s="72">
        <v>0</v>
      </c>
      <c r="I1291" s="39"/>
    </row>
    <row r="1292" spans="1:9" x14ac:dyDescent="0.3">
      <c r="A1292" s="4" t="s">
        <v>863</v>
      </c>
      <c r="B1292" s="13"/>
      <c r="C1292" s="13" t="s">
        <v>1502</v>
      </c>
      <c r="D1292" s="101" t="s">
        <v>2265</v>
      </c>
      <c r="E1292" s="102"/>
      <c r="F1292" s="13" t="s">
        <v>2384</v>
      </c>
      <c r="G1292" s="21">
        <v>27</v>
      </c>
      <c r="H1292" s="72">
        <v>0</v>
      </c>
      <c r="I1292" s="39"/>
    </row>
    <row r="1293" spans="1:9" x14ac:dyDescent="0.3">
      <c r="A1293" s="4" t="s">
        <v>864</v>
      </c>
      <c r="B1293" s="13"/>
      <c r="C1293" s="13" t="s">
        <v>1503</v>
      </c>
      <c r="D1293" s="101" t="s">
        <v>2266</v>
      </c>
      <c r="E1293" s="102"/>
      <c r="F1293" s="13" t="s">
        <v>2384</v>
      </c>
      <c r="G1293" s="21">
        <v>24</v>
      </c>
      <c r="H1293" s="72">
        <v>0</v>
      </c>
      <c r="I1293" s="39"/>
    </row>
    <row r="1294" spans="1:9" x14ac:dyDescent="0.3">
      <c r="A1294" s="4" t="s">
        <v>865</v>
      </c>
      <c r="B1294" s="13"/>
      <c r="C1294" s="13" t="s">
        <v>1504</v>
      </c>
      <c r="D1294" s="101" t="s">
        <v>2267</v>
      </c>
      <c r="E1294" s="102"/>
      <c r="F1294" s="13" t="s">
        <v>2384</v>
      </c>
      <c r="G1294" s="21">
        <v>11</v>
      </c>
      <c r="H1294" s="72">
        <v>0</v>
      </c>
      <c r="I1294" s="39"/>
    </row>
    <row r="1295" spans="1:9" x14ac:dyDescent="0.3">
      <c r="A1295" s="4" t="s">
        <v>866</v>
      </c>
      <c r="B1295" s="13"/>
      <c r="C1295" s="13" t="s">
        <v>1505</v>
      </c>
      <c r="D1295" s="101" t="s">
        <v>2268</v>
      </c>
      <c r="E1295" s="102"/>
      <c r="F1295" s="13" t="s">
        <v>2384</v>
      </c>
      <c r="G1295" s="21">
        <v>6</v>
      </c>
      <c r="H1295" s="72">
        <v>0</v>
      </c>
      <c r="I1295" s="39"/>
    </row>
    <row r="1296" spans="1:9" x14ac:dyDescent="0.3">
      <c r="A1296" s="4" t="s">
        <v>867</v>
      </c>
      <c r="B1296" s="13"/>
      <c r="C1296" s="13" t="s">
        <v>1506</v>
      </c>
      <c r="D1296" s="101" t="s">
        <v>2269</v>
      </c>
      <c r="E1296" s="102"/>
      <c r="F1296" s="13" t="s">
        <v>2384</v>
      </c>
      <c r="G1296" s="21">
        <v>1</v>
      </c>
      <c r="H1296" s="72">
        <v>0</v>
      </c>
      <c r="I1296" s="39"/>
    </row>
    <row r="1297" spans="1:9" x14ac:dyDescent="0.3">
      <c r="A1297" s="4" t="s">
        <v>868</v>
      </c>
      <c r="B1297" s="13"/>
      <c r="C1297" s="13" t="s">
        <v>1507</v>
      </c>
      <c r="D1297" s="101" t="s">
        <v>2270</v>
      </c>
      <c r="E1297" s="102"/>
      <c r="F1297" s="13" t="s">
        <v>2384</v>
      </c>
      <c r="G1297" s="21">
        <v>1</v>
      </c>
      <c r="H1297" s="72">
        <v>0</v>
      </c>
      <c r="I1297" s="39"/>
    </row>
    <row r="1298" spans="1:9" x14ac:dyDescent="0.3">
      <c r="A1298" s="4" t="s">
        <v>869</v>
      </c>
      <c r="B1298" s="13"/>
      <c r="C1298" s="13" t="s">
        <v>1508</v>
      </c>
      <c r="D1298" s="101" t="s">
        <v>2271</v>
      </c>
      <c r="E1298" s="102"/>
      <c r="F1298" s="13" t="s">
        <v>2384</v>
      </c>
      <c r="G1298" s="21">
        <v>1</v>
      </c>
      <c r="H1298" s="72">
        <v>0</v>
      </c>
      <c r="I1298" s="39"/>
    </row>
    <row r="1299" spans="1:9" x14ac:dyDescent="0.3">
      <c r="A1299" s="4" t="s">
        <v>870</v>
      </c>
      <c r="B1299" s="13"/>
      <c r="C1299" s="13" t="s">
        <v>1509</v>
      </c>
      <c r="D1299" s="101" t="s">
        <v>2272</v>
      </c>
      <c r="E1299" s="102"/>
      <c r="F1299" s="13" t="s">
        <v>2385</v>
      </c>
      <c r="G1299" s="21">
        <v>1</v>
      </c>
      <c r="H1299" s="72">
        <v>0</v>
      </c>
      <c r="I1299" s="39"/>
    </row>
    <row r="1300" spans="1:9" x14ac:dyDescent="0.3">
      <c r="A1300" s="4" t="s">
        <v>871</v>
      </c>
      <c r="B1300" s="13"/>
      <c r="C1300" s="13" t="s">
        <v>1510</v>
      </c>
      <c r="D1300" s="101" t="s">
        <v>2273</v>
      </c>
      <c r="E1300" s="102"/>
      <c r="F1300" s="13" t="s">
        <v>2384</v>
      </c>
      <c r="G1300" s="21">
        <v>1</v>
      </c>
      <c r="H1300" s="72">
        <v>0</v>
      </c>
      <c r="I1300" s="39"/>
    </row>
    <row r="1301" spans="1:9" x14ac:dyDescent="0.3">
      <c r="A1301" s="4" t="s">
        <v>872</v>
      </c>
      <c r="B1301" s="13"/>
      <c r="C1301" s="13" t="s">
        <v>1511</v>
      </c>
      <c r="D1301" s="101" t="s">
        <v>2274</v>
      </c>
      <c r="E1301" s="102"/>
      <c r="F1301" s="13" t="s">
        <v>2385</v>
      </c>
      <c r="G1301" s="21">
        <v>300</v>
      </c>
      <c r="H1301" s="72">
        <v>0</v>
      </c>
      <c r="I1301" s="39"/>
    </row>
    <row r="1302" spans="1:9" x14ac:dyDescent="0.3">
      <c r="A1302" s="4" t="s">
        <v>873</v>
      </c>
      <c r="B1302" s="13"/>
      <c r="C1302" s="13" t="s">
        <v>1512</v>
      </c>
      <c r="D1302" s="101" t="s">
        <v>2275</v>
      </c>
      <c r="E1302" s="102"/>
      <c r="F1302" s="13" t="s">
        <v>2385</v>
      </c>
      <c r="G1302" s="21">
        <v>200</v>
      </c>
      <c r="H1302" s="72">
        <v>0</v>
      </c>
      <c r="I1302" s="39"/>
    </row>
    <row r="1303" spans="1:9" x14ac:dyDescent="0.3">
      <c r="A1303" s="4" t="s">
        <v>874</v>
      </c>
      <c r="B1303" s="13"/>
      <c r="C1303" s="13" t="s">
        <v>1513</v>
      </c>
      <c r="D1303" s="101" t="s">
        <v>2276</v>
      </c>
      <c r="E1303" s="102"/>
      <c r="F1303" s="13" t="s">
        <v>2385</v>
      </c>
      <c r="G1303" s="21">
        <v>1815</v>
      </c>
      <c r="H1303" s="72">
        <v>0</v>
      </c>
      <c r="I1303" s="39"/>
    </row>
    <row r="1304" spans="1:9" x14ac:dyDescent="0.3">
      <c r="A1304" s="4" t="s">
        <v>875</v>
      </c>
      <c r="B1304" s="13"/>
      <c r="C1304" s="13" t="s">
        <v>1514</v>
      </c>
      <c r="D1304" s="101" t="s">
        <v>2277</v>
      </c>
      <c r="E1304" s="102"/>
      <c r="F1304" s="13" t="s">
        <v>2384</v>
      </c>
      <c r="G1304" s="21">
        <v>1</v>
      </c>
      <c r="H1304" s="72">
        <v>0</v>
      </c>
      <c r="I1304" s="39"/>
    </row>
    <row r="1305" spans="1:9" x14ac:dyDescent="0.3">
      <c r="A1305" s="4" t="s">
        <v>876</v>
      </c>
      <c r="B1305" s="13"/>
      <c r="C1305" s="13" t="s">
        <v>1515</v>
      </c>
      <c r="D1305" s="101" t="s">
        <v>2278</v>
      </c>
      <c r="E1305" s="102"/>
      <c r="F1305" s="13" t="s">
        <v>2384</v>
      </c>
      <c r="G1305" s="21">
        <v>10</v>
      </c>
      <c r="H1305" s="72">
        <v>0</v>
      </c>
      <c r="I1305" s="39"/>
    </row>
    <row r="1306" spans="1:9" x14ac:dyDescent="0.3">
      <c r="A1306" s="4" t="s">
        <v>877</v>
      </c>
      <c r="B1306" s="13"/>
      <c r="C1306" s="13" t="s">
        <v>1516</v>
      </c>
      <c r="D1306" s="101" t="s">
        <v>2279</v>
      </c>
      <c r="E1306" s="102"/>
      <c r="F1306" s="13" t="s">
        <v>2384</v>
      </c>
      <c r="G1306" s="21">
        <v>1</v>
      </c>
      <c r="H1306" s="72">
        <v>0</v>
      </c>
      <c r="I1306" s="39"/>
    </row>
    <row r="1307" spans="1:9" x14ac:dyDescent="0.3">
      <c r="A1307" s="4" t="s">
        <v>878</v>
      </c>
      <c r="B1307" s="13"/>
      <c r="C1307" s="13" t="s">
        <v>1517</v>
      </c>
      <c r="D1307" s="101" t="s">
        <v>2279</v>
      </c>
      <c r="E1307" s="102"/>
      <c r="F1307" s="13" t="s">
        <v>2384</v>
      </c>
      <c r="G1307" s="21">
        <v>1</v>
      </c>
      <c r="H1307" s="72">
        <v>0</v>
      </c>
      <c r="I1307" s="39"/>
    </row>
    <row r="1308" spans="1:9" x14ac:dyDescent="0.3">
      <c r="A1308" s="4" t="s">
        <v>879</v>
      </c>
      <c r="B1308" s="13"/>
      <c r="C1308" s="13" t="s">
        <v>1518</v>
      </c>
      <c r="D1308" s="101" t="s">
        <v>2279</v>
      </c>
      <c r="E1308" s="102"/>
      <c r="F1308" s="13" t="s">
        <v>2384</v>
      </c>
      <c r="G1308" s="21">
        <v>1</v>
      </c>
      <c r="H1308" s="72">
        <v>0</v>
      </c>
      <c r="I1308" s="39"/>
    </row>
    <row r="1309" spans="1:9" x14ac:dyDescent="0.3">
      <c r="A1309" s="4" t="s">
        <v>880</v>
      </c>
      <c r="B1309" s="13"/>
      <c r="C1309" s="13" t="s">
        <v>1519</v>
      </c>
      <c r="D1309" s="101" t="s">
        <v>2280</v>
      </c>
      <c r="E1309" s="102"/>
      <c r="F1309" s="13" t="s">
        <v>2384</v>
      </c>
      <c r="G1309" s="21">
        <v>2</v>
      </c>
      <c r="H1309" s="72">
        <v>0</v>
      </c>
      <c r="I1309" s="39"/>
    </row>
    <row r="1310" spans="1:9" x14ac:dyDescent="0.3">
      <c r="A1310" s="4" t="s">
        <v>881</v>
      </c>
      <c r="B1310" s="13"/>
      <c r="C1310" s="13" t="s">
        <v>1520</v>
      </c>
      <c r="D1310" s="101" t="s">
        <v>2281</v>
      </c>
      <c r="E1310" s="102"/>
      <c r="F1310" s="13" t="s">
        <v>2384</v>
      </c>
      <c r="G1310" s="21">
        <v>4</v>
      </c>
      <c r="H1310" s="72">
        <v>0</v>
      </c>
      <c r="I1310" s="39"/>
    </row>
    <row r="1311" spans="1:9" x14ac:dyDescent="0.3">
      <c r="A1311" s="4" t="s">
        <v>882</v>
      </c>
      <c r="B1311" s="13"/>
      <c r="C1311" s="13" t="s">
        <v>1521</v>
      </c>
      <c r="D1311" s="101" t="s">
        <v>2282</v>
      </c>
      <c r="E1311" s="102"/>
      <c r="F1311" s="13" t="s">
        <v>2384</v>
      </c>
      <c r="G1311" s="21">
        <v>32</v>
      </c>
      <c r="H1311" s="72">
        <v>0</v>
      </c>
      <c r="I1311" s="39"/>
    </row>
    <row r="1312" spans="1:9" x14ac:dyDescent="0.3">
      <c r="A1312" s="4" t="s">
        <v>883</v>
      </c>
      <c r="B1312" s="13"/>
      <c r="C1312" s="13" t="s">
        <v>1522</v>
      </c>
      <c r="D1312" s="101" t="s">
        <v>2283</v>
      </c>
      <c r="E1312" s="102"/>
      <c r="F1312" s="13" t="s">
        <v>2384</v>
      </c>
      <c r="G1312" s="21">
        <v>4</v>
      </c>
      <c r="H1312" s="72">
        <v>0</v>
      </c>
      <c r="I1312" s="39"/>
    </row>
    <row r="1313" spans="1:9" x14ac:dyDescent="0.3">
      <c r="A1313" s="4" t="s">
        <v>884</v>
      </c>
      <c r="B1313" s="13"/>
      <c r="C1313" s="13" t="s">
        <v>1523</v>
      </c>
      <c r="D1313" s="101" t="s">
        <v>2284</v>
      </c>
      <c r="E1313" s="102"/>
      <c r="F1313" s="13" t="s">
        <v>2384</v>
      </c>
      <c r="G1313" s="21">
        <v>18</v>
      </c>
      <c r="H1313" s="72">
        <v>0</v>
      </c>
      <c r="I1313" s="39"/>
    </row>
    <row r="1314" spans="1:9" x14ac:dyDescent="0.3">
      <c r="A1314" s="4" t="s">
        <v>885</v>
      </c>
      <c r="B1314" s="13"/>
      <c r="C1314" s="13" t="s">
        <v>1524</v>
      </c>
      <c r="D1314" s="101" t="s">
        <v>2285</v>
      </c>
      <c r="E1314" s="102"/>
      <c r="F1314" s="13" t="s">
        <v>2384</v>
      </c>
      <c r="G1314" s="21">
        <v>10</v>
      </c>
      <c r="H1314" s="72">
        <v>0</v>
      </c>
      <c r="I1314" s="39"/>
    </row>
    <row r="1315" spans="1:9" x14ac:dyDescent="0.3">
      <c r="A1315" s="4" t="s">
        <v>886</v>
      </c>
      <c r="B1315" s="13"/>
      <c r="C1315" s="13" t="s">
        <v>1525</v>
      </c>
      <c r="D1315" s="101" t="s">
        <v>2286</v>
      </c>
      <c r="E1315" s="102"/>
      <c r="F1315" s="13" t="s">
        <v>2384</v>
      </c>
      <c r="G1315" s="21">
        <v>10</v>
      </c>
      <c r="H1315" s="72">
        <v>0</v>
      </c>
      <c r="I1315" s="39"/>
    </row>
    <row r="1316" spans="1:9" x14ac:dyDescent="0.3">
      <c r="A1316" s="4" t="s">
        <v>887</v>
      </c>
      <c r="B1316" s="13"/>
      <c r="C1316" s="13" t="s">
        <v>1526</v>
      </c>
      <c r="D1316" s="101" t="s">
        <v>2287</v>
      </c>
      <c r="E1316" s="102"/>
      <c r="F1316" s="13" t="s">
        <v>2384</v>
      </c>
      <c r="G1316" s="21">
        <v>28</v>
      </c>
      <c r="H1316" s="72">
        <v>0</v>
      </c>
      <c r="I1316" s="39"/>
    </row>
    <row r="1317" spans="1:9" x14ac:dyDescent="0.3">
      <c r="A1317" s="4" t="s">
        <v>888</v>
      </c>
      <c r="B1317" s="13"/>
      <c r="C1317" s="13" t="s">
        <v>1527</v>
      </c>
      <c r="D1317" s="101" t="s">
        <v>2288</v>
      </c>
      <c r="E1317" s="102"/>
      <c r="F1317" s="13" t="s">
        <v>2384</v>
      </c>
      <c r="G1317" s="21">
        <v>8</v>
      </c>
      <c r="H1317" s="72">
        <v>0</v>
      </c>
      <c r="I1317" s="39"/>
    </row>
    <row r="1318" spans="1:9" x14ac:dyDescent="0.3">
      <c r="A1318" s="4" t="s">
        <v>889</v>
      </c>
      <c r="B1318" s="13"/>
      <c r="C1318" s="13" t="s">
        <v>1528</v>
      </c>
      <c r="D1318" s="101" t="s">
        <v>2289</v>
      </c>
      <c r="E1318" s="102"/>
      <c r="F1318" s="13" t="s">
        <v>2384</v>
      </c>
      <c r="G1318" s="21">
        <v>8</v>
      </c>
      <c r="H1318" s="72">
        <v>0</v>
      </c>
      <c r="I1318" s="39"/>
    </row>
    <row r="1319" spans="1:9" x14ac:dyDescent="0.3">
      <c r="A1319" s="4" t="s">
        <v>890</v>
      </c>
      <c r="B1319" s="13"/>
      <c r="C1319" s="13" t="s">
        <v>1529</v>
      </c>
      <c r="D1319" s="101" t="s">
        <v>2290</v>
      </c>
      <c r="E1319" s="102"/>
      <c r="F1319" s="13" t="s">
        <v>2384</v>
      </c>
      <c r="G1319" s="21">
        <v>8</v>
      </c>
      <c r="H1319" s="72">
        <v>0</v>
      </c>
      <c r="I1319" s="39"/>
    </row>
    <row r="1320" spans="1:9" x14ac:dyDescent="0.3">
      <c r="A1320" s="4" t="s">
        <v>891</v>
      </c>
      <c r="B1320" s="13"/>
      <c r="C1320" s="13" t="s">
        <v>1530</v>
      </c>
      <c r="D1320" s="101" t="s">
        <v>2291</v>
      </c>
      <c r="E1320" s="102"/>
      <c r="F1320" s="13" t="s">
        <v>2384</v>
      </c>
      <c r="G1320" s="21">
        <v>8</v>
      </c>
      <c r="H1320" s="72">
        <v>0</v>
      </c>
      <c r="I1320" s="39"/>
    </row>
    <row r="1321" spans="1:9" x14ac:dyDescent="0.3">
      <c r="A1321" s="4" t="s">
        <v>892</v>
      </c>
      <c r="B1321" s="13"/>
      <c r="C1321" s="13" t="s">
        <v>1531</v>
      </c>
      <c r="D1321" s="101" t="s">
        <v>2292</v>
      </c>
      <c r="E1321" s="102"/>
      <c r="F1321" s="13" t="s">
        <v>2384</v>
      </c>
      <c r="G1321" s="21">
        <v>8</v>
      </c>
      <c r="H1321" s="72">
        <v>0</v>
      </c>
      <c r="I1321" s="39"/>
    </row>
    <row r="1322" spans="1:9" x14ac:dyDescent="0.3">
      <c r="A1322" s="4" t="s">
        <v>893</v>
      </c>
      <c r="B1322" s="13"/>
      <c r="C1322" s="13" t="s">
        <v>1532</v>
      </c>
      <c r="D1322" s="101" t="s">
        <v>2293</v>
      </c>
      <c r="E1322" s="102"/>
      <c r="F1322" s="13" t="s">
        <v>2384</v>
      </c>
      <c r="G1322" s="21">
        <v>5</v>
      </c>
      <c r="H1322" s="72">
        <v>0</v>
      </c>
      <c r="I1322" s="39"/>
    </row>
    <row r="1323" spans="1:9" x14ac:dyDescent="0.3">
      <c r="A1323" s="4" t="s">
        <v>894</v>
      </c>
      <c r="B1323" s="13"/>
      <c r="C1323" s="13" t="s">
        <v>1533</v>
      </c>
      <c r="D1323" s="101" t="s">
        <v>2268</v>
      </c>
      <c r="E1323" s="102"/>
      <c r="F1323" s="13" t="s">
        <v>2384</v>
      </c>
      <c r="G1323" s="21">
        <v>2</v>
      </c>
      <c r="H1323" s="72">
        <v>0</v>
      </c>
      <c r="I1323" s="39"/>
    </row>
    <row r="1324" spans="1:9" x14ac:dyDescent="0.3">
      <c r="A1324" s="4" t="s">
        <v>895</v>
      </c>
      <c r="B1324" s="13"/>
      <c r="C1324" s="13" t="s">
        <v>1534</v>
      </c>
      <c r="D1324" s="101" t="s">
        <v>2294</v>
      </c>
      <c r="E1324" s="102"/>
      <c r="F1324" s="13" t="s">
        <v>2385</v>
      </c>
      <c r="G1324" s="21">
        <v>2660</v>
      </c>
      <c r="H1324" s="72">
        <v>0</v>
      </c>
      <c r="I1324" s="39"/>
    </row>
    <row r="1325" spans="1:9" x14ac:dyDescent="0.3">
      <c r="A1325" s="4" t="s">
        <v>896</v>
      </c>
      <c r="B1325" s="13"/>
      <c r="C1325" s="13" t="s">
        <v>1535</v>
      </c>
      <c r="D1325" s="101" t="s">
        <v>2295</v>
      </c>
      <c r="E1325" s="102"/>
      <c r="F1325" s="13" t="s">
        <v>2385</v>
      </c>
      <c r="G1325" s="21">
        <v>40</v>
      </c>
      <c r="H1325" s="72">
        <v>0</v>
      </c>
      <c r="I1325" s="39"/>
    </row>
    <row r="1326" spans="1:9" x14ac:dyDescent="0.3">
      <c r="A1326" s="4" t="s">
        <v>897</v>
      </c>
      <c r="B1326" s="13"/>
      <c r="C1326" s="13" t="s">
        <v>1536</v>
      </c>
      <c r="D1326" s="101" t="s">
        <v>2296</v>
      </c>
      <c r="E1326" s="102"/>
      <c r="F1326" s="13" t="s">
        <v>2384</v>
      </c>
      <c r="G1326" s="21">
        <v>80</v>
      </c>
      <c r="H1326" s="72">
        <v>0</v>
      </c>
      <c r="I1326" s="39"/>
    </row>
    <row r="1327" spans="1:9" x14ac:dyDescent="0.3">
      <c r="A1327" s="4" t="s">
        <v>898</v>
      </c>
      <c r="B1327" s="13"/>
      <c r="C1327" s="13" t="s">
        <v>1537</v>
      </c>
      <c r="D1327" s="101" t="s">
        <v>2297</v>
      </c>
      <c r="E1327" s="102"/>
      <c r="F1327" s="13" t="s">
        <v>2384</v>
      </c>
      <c r="G1327" s="21">
        <v>36</v>
      </c>
      <c r="H1327" s="72">
        <v>0</v>
      </c>
      <c r="I1327" s="39"/>
    </row>
    <row r="1328" spans="1:9" x14ac:dyDescent="0.3">
      <c r="A1328" s="4" t="s">
        <v>899</v>
      </c>
      <c r="B1328" s="13"/>
      <c r="C1328" s="13" t="s">
        <v>1538</v>
      </c>
      <c r="D1328" s="101" t="s">
        <v>2273</v>
      </c>
      <c r="E1328" s="102"/>
      <c r="F1328" s="13" t="s">
        <v>2384</v>
      </c>
      <c r="G1328" s="21">
        <v>1</v>
      </c>
      <c r="H1328" s="72">
        <v>0</v>
      </c>
      <c r="I1328" s="39"/>
    </row>
    <row r="1329" spans="1:9" x14ac:dyDescent="0.3">
      <c r="A1329" s="4" t="s">
        <v>900</v>
      </c>
      <c r="B1329" s="13"/>
      <c r="C1329" s="13" t="s">
        <v>1539</v>
      </c>
      <c r="D1329" s="101" t="s">
        <v>2298</v>
      </c>
      <c r="E1329" s="102"/>
      <c r="F1329" s="13" t="s">
        <v>2384</v>
      </c>
      <c r="G1329" s="21">
        <v>16</v>
      </c>
      <c r="H1329" s="72">
        <v>0</v>
      </c>
      <c r="I1329" s="39"/>
    </row>
    <row r="1330" spans="1:9" x14ac:dyDescent="0.3">
      <c r="A1330" s="4" t="s">
        <v>901</v>
      </c>
      <c r="B1330" s="13"/>
      <c r="C1330" s="13" t="s">
        <v>1540</v>
      </c>
      <c r="D1330" s="101" t="s">
        <v>2299</v>
      </c>
      <c r="E1330" s="102"/>
      <c r="F1330" s="13" t="s">
        <v>2384</v>
      </c>
      <c r="G1330" s="21">
        <v>5</v>
      </c>
      <c r="H1330" s="72">
        <v>0</v>
      </c>
      <c r="I1330" s="39"/>
    </row>
    <row r="1331" spans="1:9" x14ac:dyDescent="0.3">
      <c r="A1331" s="4" t="s">
        <v>902</v>
      </c>
      <c r="B1331" s="13"/>
      <c r="C1331" s="13" t="s">
        <v>1541</v>
      </c>
      <c r="D1331" s="101" t="s">
        <v>2300</v>
      </c>
      <c r="E1331" s="102"/>
      <c r="F1331" s="13" t="s">
        <v>2384</v>
      </c>
      <c r="G1331" s="21">
        <v>1</v>
      </c>
      <c r="H1331" s="72">
        <v>0</v>
      </c>
      <c r="I1331" s="39"/>
    </row>
    <row r="1332" spans="1:9" x14ac:dyDescent="0.3">
      <c r="A1332" s="4" t="s">
        <v>903</v>
      </c>
      <c r="B1332" s="13"/>
      <c r="C1332" s="13" t="s">
        <v>1542</v>
      </c>
      <c r="D1332" s="101" t="s">
        <v>2301</v>
      </c>
      <c r="E1332" s="102"/>
      <c r="F1332" s="13" t="s">
        <v>2384</v>
      </c>
      <c r="G1332" s="21">
        <v>13</v>
      </c>
      <c r="H1332" s="72">
        <v>0</v>
      </c>
      <c r="I1332" s="39"/>
    </row>
    <row r="1333" spans="1:9" x14ac:dyDescent="0.3">
      <c r="A1333" s="4" t="s">
        <v>904</v>
      </c>
      <c r="B1333" s="13"/>
      <c r="C1333" s="13" t="s">
        <v>1543</v>
      </c>
      <c r="D1333" s="101" t="s">
        <v>2302</v>
      </c>
      <c r="E1333" s="102"/>
      <c r="F1333" s="13" t="s">
        <v>2384</v>
      </c>
      <c r="G1333" s="21">
        <v>2</v>
      </c>
      <c r="H1333" s="72">
        <v>0</v>
      </c>
      <c r="I1333" s="39"/>
    </row>
    <row r="1334" spans="1:9" x14ac:dyDescent="0.3">
      <c r="A1334" s="4" t="s">
        <v>905</v>
      </c>
      <c r="B1334" s="13"/>
      <c r="C1334" s="13" t="s">
        <v>1544</v>
      </c>
      <c r="D1334" s="101" t="s">
        <v>2303</v>
      </c>
      <c r="E1334" s="102"/>
      <c r="F1334" s="13" t="s">
        <v>2385</v>
      </c>
      <c r="G1334" s="21">
        <v>720</v>
      </c>
      <c r="H1334" s="72">
        <v>0</v>
      </c>
      <c r="I1334" s="39"/>
    </row>
    <row r="1335" spans="1:9" x14ac:dyDescent="0.3">
      <c r="A1335" s="4" t="s">
        <v>906</v>
      </c>
      <c r="B1335" s="13"/>
      <c r="C1335" s="13" t="s">
        <v>1545</v>
      </c>
      <c r="D1335" s="101" t="s">
        <v>2304</v>
      </c>
      <c r="E1335" s="102"/>
      <c r="F1335" s="13" t="s">
        <v>2384</v>
      </c>
      <c r="G1335" s="21">
        <v>1</v>
      </c>
      <c r="H1335" s="72">
        <v>0</v>
      </c>
      <c r="I1335" s="39"/>
    </row>
    <row r="1336" spans="1:9" x14ac:dyDescent="0.3">
      <c r="A1336" s="4" t="s">
        <v>907</v>
      </c>
      <c r="B1336" s="13"/>
      <c r="C1336" s="13" t="s">
        <v>1546</v>
      </c>
      <c r="D1336" s="101" t="s">
        <v>2273</v>
      </c>
      <c r="E1336" s="102"/>
      <c r="F1336" s="13" t="s">
        <v>2384</v>
      </c>
      <c r="G1336" s="21">
        <v>24</v>
      </c>
      <c r="H1336" s="72">
        <v>0</v>
      </c>
      <c r="I1336" s="39"/>
    </row>
    <row r="1337" spans="1:9" x14ac:dyDescent="0.3">
      <c r="A1337" s="4" t="s">
        <v>908</v>
      </c>
      <c r="B1337" s="13"/>
      <c r="C1337" s="13" t="s">
        <v>1547</v>
      </c>
      <c r="D1337" s="101" t="s">
        <v>2305</v>
      </c>
      <c r="E1337" s="102"/>
      <c r="F1337" s="13" t="s">
        <v>2384</v>
      </c>
      <c r="G1337" s="21">
        <v>1</v>
      </c>
      <c r="H1337" s="72">
        <v>0</v>
      </c>
      <c r="I1337" s="39"/>
    </row>
    <row r="1338" spans="1:9" x14ac:dyDescent="0.3">
      <c r="A1338" s="4" t="s">
        <v>909</v>
      </c>
      <c r="B1338" s="13"/>
      <c r="C1338" s="13" t="s">
        <v>1548</v>
      </c>
      <c r="D1338" s="101" t="s">
        <v>2306</v>
      </c>
      <c r="E1338" s="102"/>
      <c r="F1338" s="13" t="s">
        <v>2384</v>
      </c>
      <c r="G1338" s="21">
        <v>1</v>
      </c>
      <c r="H1338" s="72">
        <v>0</v>
      </c>
      <c r="I1338" s="39"/>
    </row>
    <row r="1339" spans="1:9" x14ac:dyDescent="0.3">
      <c r="A1339" s="4" t="s">
        <v>910</v>
      </c>
      <c r="B1339" s="13"/>
      <c r="C1339" s="13" t="s">
        <v>1549</v>
      </c>
      <c r="D1339" s="101" t="s">
        <v>2307</v>
      </c>
      <c r="E1339" s="102"/>
      <c r="F1339" s="13" t="s">
        <v>2384</v>
      </c>
      <c r="G1339" s="21">
        <v>1</v>
      </c>
      <c r="H1339" s="72">
        <v>0</v>
      </c>
      <c r="I1339" s="39"/>
    </row>
    <row r="1340" spans="1:9" x14ac:dyDescent="0.3">
      <c r="A1340" s="4" t="s">
        <v>911</v>
      </c>
      <c r="B1340" s="13"/>
      <c r="C1340" s="13" t="s">
        <v>1550</v>
      </c>
      <c r="D1340" s="101" t="s">
        <v>2308</v>
      </c>
      <c r="E1340" s="102"/>
      <c r="F1340" s="13" t="s">
        <v>2384</v>
      </c>
      <c r="G1340" s="21">
        <v>1</v>
      </c>
      <c r="H1340" s="72">
        <v>0</v>
      </c>
      <c r="I1340" s="39"/>
    </row>
    <row r="1341" spans="1:9" x14ac:dyDescent="0.3">
      <c r="A1341" s="4" t="s">
        <v>912</v>
      </c>
      <c r="B1341" s="13"/>
      <c r="C1341" s="13" t="s">
        <v>1551</v>
      </c>
      <c r="D1341" s="101" t="s">
        <v>2273</v>
      </c>
      <c r="E1341" s="102"/>
      <c r="F1341" s="13" t="s">
        <v>2384</v>
      </c>
      <c r="G1341" s="21">
        <v>22</v>
      </c>
      <c r="H1341" s="72">
        <v>0</v>
      </c>
      <c r="I1341" s="39"/>
    </row>
    <row r="1342" spans="1:9" x14ac:dyDescent="0.3">
      <c r="A1342" s="4" t="s">
        <v>913</v>
      </c>
      <c r="B1342" s="13"/>
      <c r="C1342" s="13" t="s">
        <v>1552</v>
      </c>
      <c r="D1342" s="101" t="s">
        <v>2309</v>
      </c>
      <c r="E1342" s="102"/>
      <c r="F1342" s="13" t="s">
        <v>2384</v>
      </c>
      <c r="G1342" s="21">
        <v>2</v>
      </c>
      <c r="H1342" s="72">
        <v>0</v>
      </c>
      <c r="I1342" s="39"/>
    </row>
    <row r="1343" spans="1:9" x14ac:dyDescent="0.3">
      <c r="A1343" s="4" t="s">
        <v>914</v>
      </c>
      <c r="B1343" s="13"/>
      <c r="C1343" s="13" t="s">
        <v>1553</v>
      </c>
      <c r="D1343" s="101" t="s">
        <v>2310</v>
      </c>
      <c r="E1343" s="102"/>
      <c r="F1343" s="13" t="s">
        <v>2384</v>
      </c>
      <c r="G1343" s="21">
        <v>22</v>
      </c>
      <c r="H1343" s="72">
        <v>0</v>
      </c>
      <c r="I1343" s="39"/>
    </row>
    <row r="1344" spans="1:9" x14ac:dyDescent="0.3">
      <c r="A1344" s="4" t="s">
        <v>915</v>
      </c>
      <c r="B1344" s="13"/>
      <c r="C1344" s="13" t="s">
        <v>1554</v>
      </c>
      <c r="D1344" s="101" t="s">
        <v>2311</v>
      </c>
      <c r="E1344" s="102"/>
      <c r="F1344" s="13" t="s">
        <v>2384</v>
      </c>
      <c r="G1344" s="21">
        <v>4</v>
      </c>
      <c r="H1344" s="72">
        <v>0</v>
      </c>
      <c r="I1344" s="39"/>
    </row>
    <row r="1345" spans="1:9" x14ac:dyDescent="0.3">
      <c r="A1345" s="4" t="s">
        <v>916</v>
      </c>
      <c r="B1345" s="13"/>
      <c r="C1345" s="13" t="s">
        <v>1555</v>
      </c>
      <c r="D1345" s="101" t="s">
        <v>2312</v>
      </c>
      <c r="E1345" s="102"/>
      <c r="F1345" s="13" t="s">
        <v>2384</v>
      </c>
      <c r="G1345" s="21">
        <v>1</v>
      </c>
      <c r="H1345" s="72">
        <v>0</v>
      </c>
      <c r="I1345" s="39"/>
    </row>
    <row r="1346" spans="1:9" x14ac:dyDescent="0.3">
      <c r="A1346" s="4" t="s">
        <v>917</v>
      </c>
      <c r="B1346" s="13"/>
      <c r="C1346" s="13" t="s">
        <v>1556</v>
      </c>
      <c r="D1346" s="101" t="s">
        <v>2313</v>
      </c>
      <c r="E1346" s="102"/>
      <c r="F1346" s="13" t="s">
        <v>2385</v>
      </c>
      <c r="G1346" s="21">
        <v>150</v>
      </c>
      <c r="H1346" s="72">
        <v>0</v>
      </c>
      <c r="I1346" s="39"/>
    </row>
    <row r="1347" spans="1:9" x14ac:dyDescent="0.3">
      <c r="A1347" s="4" t="s">
        <v>918</v>
      </c>
      <c r="B1347" s="13"/>
      <c r="C1347" s="13" t="s">
        <v>1557</v>
      </c>
      <c r="D1347" s="101" t="s">
        <v>2314</v>
      </c>
      <c r="E1347" s="102"/>
      <c r="F1347" s="13" t="s">
        <v>2384</v>
      </c>
      <c r="G1347" s="21">
        <v>24</v>
      </c>
      <c r="H1347" s="72">
        <v>0</v>
      </c>
      <c r="I1347" s="39"/>
    </row>
    <row r="1348" spans="1:9" x14ac:dyDescent="0.3">
      <c r="A1348" s="4" t="s">
        <v>919</v>
      </c>
      <c r="B1348" s="13"/>
      <c r="C1348" s="13" t="s">
        <v>1558</v>
      </c>
      <c r="D1348" s="101" t="s">
        <v>2315</v>
      </c>
      <c r="E1348" s="102"/>
      <c r="F1348" s="13" t="s">
        <v>2384</v>
      </c>
      <c r="G1348" s="21">
        <v>4</v>
      </c>
      <c r="H1348" s="72">
        <v>0</v>
      </c>
      <c r="I1348" s="39"/>
    </row>
    <row r="1349" spans="1:9" x14ac:dyDescent="0.3">
      <c r="A1349" s="4" t="s">
        <v>920</v>
      </c>
      <c r="B1349" s="13"/>
      <c r="C1349" s="13" t="s">
        <v>1559</v>
      </c>
      <c r="D1349" s="101" t="s">
        <v>2316</v>
      </c>
      <c r="E1349" s="102"/>
      <c r="F1349" s="13" t="s">
        <v>2384</v>
      </c>
      <c r="G1349" s="21">
        <v>1</v>
      </c>
      <c r="H1349" s="72">
        <v>0</v>
      </c>
      <c r="I1349" s="39"/>
    </row>
    <row r="1350" spans="1:9" x14ac:dyDescent="0.3">
      <c r="A1350" s="4" t="s">
        <v>921</v>
      </c>
      <c r="B1350" s="13"/>
      <c r="C1350" s="13" t="s">
        <v>1560</v>
      </c>
      <c r="D1350" s="101" t="s">
        <v>2317</v>
      </c>
      <c r="E1350" s="102"/>
      <c r="F1350" s="13" t="s">
        <v>2384</v>
      </c>
      <c r="G1350" s="21">
        <v>21</v>
      </c>
      <c r="H1350" s="72">
        <v>0</v>
      </c>
      <c r="I1350" s="39"/>
    </row>
    <row r="1351" spans="1:9" x14ac:dyDescent="0.3">
      <c r="A1351" s="4" t="s">
        <v>922</v>
      </c>
      <c r="B1351" s="13"/>
      <c r="C1351" s="13" t="s">
        <v>1561</v>
      </c>
      <c r="D1351" s="101" t="s">
        <v>2318</v>
      </c>
      <c r="E1351" s="102"/>
      <c r="F1351" s="13" t="s">
        <v>2384</v>
      </c>
      <c r="G1351" s="21">
        <v>2</v>
      </c>
      <c r="H1351" s="72">
        <v>0</v>
      </c>
      <c r="I1351" s="39"/>
    </row>
    <row r="1352" spans="1:9" x14ac:dyDescent="0.3">
      <c r="A1352" s="4" t="s">
        <v>923</v>
      </c>
      <c r="B1352" s="13"/>
      <c r="C1352" s="13" t="s">
        <v>1562</v>
      </c>
      <c r="D1352" s="101" t="s">
        <v>2319</v>
      </c>
      <c r="E1352" s="102"/>
      <c r="F1352" s="13" t="s">
        <v>2384</v>
      </c>
      <c r="G1352" s="21">
        <v>24</v>
      </c>
      <c r="H1352" s="72">
        <v>0</v>
      </c>
      <c r="I1352" s="39"/>
    </row>
    <row r="1353" spans="1:9" x14ac:dyDescent="0.3">
      <c r="A1353" s="4" t="s">
        <v>924</v>
      </c>
      <c r="B1353" s="13"/>
      <c r="C1353" s="13" t="s">
        <v>1563</v>
      </c>
      <c r="D1353" s="101" t="s">
        <v>2320</v>
      </c>
      <c r="E1353" s="102"/>
      <c r="F1353" s="13" t="s">
        <v>2385</v>
      </c>
      <c r="G1353" s="21">
        <v>30</v>
      </c>
      <c r="H1353" s="72">
        <v>0</v>
      </c>
      <c r="I1353" s="39"/>
    </row>
    <row r="1354" spans="1:9" x14ac:dyDescent="0.3">
      <c r="A1354" s="4" t="s">
        <v>925</v>
      </c>
      <c r="B1354" s="13"/>
      <c r="C1354" s="13" t="s">
        <v>1564</v>
      </c>
      <c r="D1354" s="101" t="s">
        <v>2321</v>
      </c>
      <c r="E1354" s="102"/>
      <c r="F1354" s="13" t="s">
        <v>2384</v>
      </c>
      <c r="G1354" s="21">
        <v>6</v>
      </c>
      <c r="H1354" s="72">
        <v>0</v>
      </c>
      <c r="I1354" s="39"/>
    </row>
    <row r="1355" spans="1:9" x14ac:dyDescent="0.3">
      <c r="A1355" s="4" t="s">
        <v>926</v>
      </c>
      <c r="B1355" s="13"/>
      <c r="C1355" s="13" t="s">
        <v>1565</v>
      </c>
      <c r="D1355" s="101" t="s">
        <v>2322</v>
      </c>
      <c r="E1355" s="102"/>
      <c r="F1355" s="13" t="s">
        <v>2385</v>
      </c>
      <c r="G1355" s="21">
        <v>125</v>
      </c>
      <c r="H1355" s="72">
        <v>0</v>
      </c>
      <c r="I1355" s="39"/>
    </row>
    <row r="1356" spans="1:9" x14ac:dyDescent="0.3">
      <c r="A1356" s="4" t="s">
        <v>927</v>
      </c>
      <c r="B1356" s="13"/>
      <c r="C1356" s="13" t="s">
        <v>1566</v>
      </c>
      <c r="D1356" s="101" t="s">
        <v>2323</v>
      </c>
      <c r="E1356" s="102"/>
      <c r="F1356" s="13" t="s">
        <v>2384</v>
      </c>
      <c r="G1356" s="21">
        <v>1</v>
      </c>
      <c r="H1356" s="72">
        <v>0</v>
      </c>
      <c r="I1356" s="39"/>
    </row>
    <row r="1357" spans="1:9" x14ac:dyDescent="0.3">
      <c r="A1357" s="4" t="s">
        <v>928</v>
      </c>
      <c r="B1357" s="13"/>
      <c r="C1357" s="13" t="s">
        <v>1567</v>
      </c>
      <c r="D1357" s="101" t="s">
        <v>2324</v>
      </c>
      <c r="E1357" s="102"/>
      <c r="F1357" s="13" t="s">
        <v>2384</v>
      </c>
      <c r="G1357" s="21">
        <v>2</v>
      </c>
      <c r="H1357" s="72">
        <v>0</v>
      </c>
      <c r="I1357" s="39"/>
    </row>
    <row r="1358" spans="1:9" x14ac:dyDescent="0.3">
      <c r="A1358" s="4" t="s">
        <v>929</v>
      </c>
      <c r="B1358" s="13"/>
      <c r="C1358" s="13" t="s">
        <v>1568</v>
      </c>
      <c r="D1358" s="101" t="s">
        <v>2325</v>
      </c>
      <c r="E1358" s="102"/>
      <c r="F1358" s="13" t="s">
        <v>2384</v>
      </c>
      <c r="G1358" s="21">
        <v>1</v>
      </c>
      <c r="H1358" s="72">
        <v>0</v>
      </c>
      <c r="I1358" s="39"/>
    </row>
    <row r="1359" spans="1:9" x14ac:dyDescent="0.3">
      <c r="A1359" s="4" t="s">
        <v>930</v>
      </c>
      <c r="B1359" s="13"/>
      <c r="C1359" s="13" t="s">
        <v>1569</v>
      </c>
      <c r="D1359" s="101" t="s">
        <v>2326</v>
      </c>
      <c r="E1359" s="102"/>
      <c r="F1359" s="13" t="s">
        <v>2384</v>
      </c>
      <c r="G1359" s="21">
        <v>2</v>
      </c>
      <c r="H1359" s="72">
        <v>0</v>
      </c>
      <c r="I1359" s="39"/>
    </row>
    <row r="1360" spans="1:9" x14ac:dyDescent="0.3">
      <c r="A1360" s="4" t="s">
        <v>931</v>
      </c>
      <c r="B1360" s="13"/>
      <c r="C1360" s="13" t="s">
        <v>1570</v>
      </c>
      <c r="D1360" s="101" t="s">
        <v>2327</v>
      </c>
      <c r="E1360" s="102"/>
      <c r="F1360" s="13" t="s">
        <v>2384</v>
      </c>
      <c r="G1360" s="21">
        <v>1</v>
      </c>
      <c r="H1360" s="72">
        <v>0</v>
      </c>
      <c r="I1360" s="39"/>
    </row>
    <row r="1361" spans="1:9" x14ac:dyDescent="0.3">
      <c r="A1361" s="4" t="s">
        <v>932</v>
      </c>
      <c r="B1361" s="13"/>
      <c r="C1361" s="13" t="s">
        <v>1571</v>
      </c>
      <c r="D1361" s="101" t="s">
        <v>2328</v>
      </c>
      <c r="E1361" s="102"/>
      <c r="F1361" s="13" t="s">
        <v>2385</v>
      </c>
      <c r="G1361" s="21">
        <v>60</v>
      </c>
      <c r="H1361" s="72">
        <v>0</v>
      </c>
      <c r="I1361" s="39"/>
    </row>
    <row r="1362" spans="1:9" x14ac:dyDescent="0.3">
      <c r="A1362" s="4" t="s">
        <v>933</v>
      </c>
      <c r="B1362" s="13"/>
      <c r="C1362" s="13" t="s">
        <v>1572</v>
      </c>
      <c r="D1362" s="101" t="s">
        <v>2329</v>
      </c>
      <c r="E1362" s="102"/>
      <c r="F1362" s="13" t="s">
        <v>2385</v>
      </c>
      <c r="G1362" s="21">
        <v>150</v>
      </c>
      <c r="H1362" s="72">
        <v>0</v>
      </c>
      <c r="I1362" s="39"/>
    </row>
    <row r="1363" spans="1:9" x14ac:dyDescent="0.3">
      <c r="A1363" s="4" t="s">
        <v>934</v>
      </c>
      <c r="B1363" s="13"/>
      <c r="C1363" s="13" t="s">
        <v>1573</v>
      </c>
      <c r="D1363" s="101" t="s">
        <v>2330</v>
      </c>
      <c r="E1363" s="102"/>
      <c r="F1363" s="13" t="s">
        <v>2385</v>
      </c>
      <c r="G1363" s="21">
        <v>210</v>
      </c>
      <c r="H1363" s="72">
        <v>0</v>
      </c>
      <c r="I1363" s="39"/>
    </row>
    <row r="1364" spans="1:9" x14ac:dyDescent="0.3">
      <c r="A1364" s="4" t="s">
        <v>935</v>
      </c>
      <c r="B1364" s="13"/>
      <c r="C1364" s="13" t="s">
        <v>1574</v>
      </c>
      <c r="D1364" s="101" t="s">
        <v>2331</v>
      </c>
      <c r="E1364" s="102"/>
      <c r="F1364" s="13" t="s">
        <v>2385</v>
      </c>
      <c r="G1364" s="21">
        <v>60</v>
      </c>
      <c r="H1364" s="72">
        <v>0</v>
      </c>
      <c r="I1364" s="39"/>
    </row>
    <row r="1365" spans="1:9" x14ac:dyDescent="0.3">
      <c r="A1365" s="4" t="s">
        <v>936</v>
      </c>
      <c r="B1365" s="13"/>
      <c r="C1365" s="13" t="s">
        <v>1575</v>
      </c>
      <c r="D1365" s="101" t="s">
        <v>2332</v>
      </c>
      <c r="E1365" s="102"/>
      <c r="F1365" s="13" t="s">
        <v>2385</v>
      </c>
      <c r="G1365" s="21">
        <v>150</v>
      </c>
      <c r="H1365" s="72">
        <v>0</v>
      </c>
      <c r="I1365" s="39"/>
    </row>
    <row r="1366" spans="1:9" x14ac:dyDescent="0.3">
      <c r="A1366" s="4" t="s">
        <v>937</v>
      </c>
      <c r="B1366" s="13"/>
      <c r="C1366" s="13" t="s">
        <v>1576</v>
      </c>
      <c r="D1366" s="101" t="s">
        <v>2333</v>
      </c>
      <c r="E1366" s="102"/>
      <c r="F1366" s="13" t="s">
        <v>2385</v>
      </c>
      <c r="G1366" s="21">
        <v>600</v>
      </c>
      <c r="H1366" s="72">
        <v>0</v>
      </c>
      <c r="I1366" s="39"/>
    </row>
    <row r="1367" spans="1:9" x14ac:dyDescent="0.3">
      <c r="A1367" s="4" t="s">
        <v>938</v>
      </c>
      <c r="B1367" s="13"/>
      <c r="C1367" s="13" t="s">
        <v>1577</v>
      </c>
      <c r="D1367" s="101" t="s">
        <v>2334</v>
      </c>
      <c r="E1367" s="102"/>
      <c r="F1367" s="13" t="s">
        <v>2385</v>
      </c>
      <c r="G1367" s="21">
        <v>200</v>
      </c>
      <c r="H1367" s="72">
        <v>0</v>
      </c>
      <c r="I1367" s="39"/>
    </row>
    <row r="1368" spans="1:9" x14ac:dyDescent="0.3">
      <c r="A1368" s="4" t="s">
        <v>939</v>
      </c>
      <c r="B1368" s="13"/>
      <c r="C1368" s="13" t="s">
        <v>1578</v>
      </c>
      <c r="D1368" s="101" t="s">
        <v>2335</v>
      </c>
      <c r="E1368" s="102"/>
      <c r="F1368" s="13" t="s">
        <v>2384</v>
      </c>
      <c r="G1368" s="21">
        <v>600</v>
      </c>
      <c r="H1368" s="72">
        <v>0</v>
      </c>
      <c r="I1368" s="39"/>
    </row>
    <row r="1369" spans="1:9" x14ac:dyDescent="0.3">
      <c r="A1369" s="4" t="s">
        <v>940</v>
      </c>
      <c r="B1369" s="13"/>
      <c r="C1369" s="13" t="s">
        <v>1579</v>
      </c>
      <c r="D1369" s="101" t="s">
        <v>2336</v>
      </c>
      <c r="E1369" s="102"/>
      <c r="F1369" s="13" t="s">
        <v>2384</v>
      </c>
      <c r="G1369" s="21">
        <v>490</v>
      </c>
      <c r="H1369" s="72">
        <v>0</v>
      </c>
      <c r="I1369" s="39"/>
    </row>
    <row r="1370" spans="1:9" x14ac:dyDescent="0.3">
      <c r="A1370" s="4" t="s">
        <v>941</v>
      </c>
      <c r="B1370" s="13"/>
      <c r="C1370" s="13" t="s">
        <v>1580</v>
      </c>
      <c r="D1370" s="101" t="s">
        <v>2337</v>
      </c>
      <c r="E1370" s="102"/>
      <c r="F1370" s="13" t="s">
        <v>2396</v>
      </c>
      <c r="G1370" s="21">
        <v>1.55</v>
      </c>
      <c r="H1370" s="72">
        <v>0</v>
      </c>
      <c r="I1370" s="39"/>
    </row>
    <row r="1371" spans="1:9" x14ac:dyDescent="0.3">
      <c r="A1371" s="66"/>
      <c r="B1371" s="14"/>
      <c r="C1371" s="14" t="s">
        <v>1581</v>
      </c>
      <c r="D1371" s="103" t="s">
        <v>2338</v>
      </c>
      <c r="E1371" s="104"/>
      <c r="F1371" s="14"/>
      <c r="G1371" s="31"/>
      <c r="H1371" s="36"/>
      <c r="I1371" s="39"/>
    </row>
    <row r="1372" spans="1:9" x14ac:dyDescent="0.3">
      <c r="A1372" s="4" t="s">
        <v>942</v>
      </c>
      <c r="B1372" s="13"/>
      <c r="C1372" s="13" t="s">
        <v>1582</v>
      </c>
      <c r="D1372" s="101" t="s">
        <v>2339</v>
      </c>
      <c r="E1372" s="102"/>
      <c r="F1372" s="13" t="s">
        <v>2391</v>
      </c>
      <c r="G1372" s="21">
        <v>23</v>
      </c>
      <c r="H1372" s="72">
        <v>0</v>
      </c>
      <c r="I1372" s="39"/>
    </row>
    <row r="1373" spans="1:9" x14ac:dyDescent="0.3">
      <c r="A1373" s="4" t="s">
        <v>943</v>
      </c>
      <c r="B1373" s="13"/>
      <c r="C1373" s="13" t="s">
        <v>1583</v>
      </c>
      <c r="D1373" s="101" t="s">
        <v>2340</v>
      </c>
      <c r="E1373" s="102"/>
      <c r="F1373" s="13" t="s">
        <v>2391</v>
      </c>
      <c r="G1373" s="21">
        <v>23</v>
      </c>
      <c r="H1373" s="72">
        <v>0</v>
      </c>
      <c r="I1373" s="39"/>
    </row>
    <row r="1374" spans="1:9" x14ac:dyDescent="0.3">
      <c r="A1374" s="4" t="s">
        <v>944</v>
      </c>
      <c r="B1374" s="13"/>
      <c r="C1374" s="13" t="s">
        <v>1584</v>
      </c>
      <c r="D1374" s="101" t="s">
        <v>2341</v>
      </c>
      <c r="E1374" s="102"/>
      <c r="F1374" s="13" t="s">
        <v>2391</v>
      </c>
      <c r="G1374" s="21">
        <v>31</v>
      </c>
      <c r="H1374" s="72">
        <v>0</v>
      </c>
      <c r="I1374" s="39"/>
    </row>
    <row r="1375" spans="1:9" x14ac:dyDescent="0.3">
      <c r="A1375" s="4" t="s">
        <v>945</v>
      </c>
      <c r="B1375" s="13"/>
      <c r="C1375" s="13" t="s">
        <v>1585</v>
      </c>
      <c r="D1375" s="101" t="s">
        <v>2342</v>
      </c>
      <c r="E1375" s="102"/>
      <c r="F1375" s="13" t="s">
        <v>2391</v>
      </c>
      <c r="G1375" s="21">
        <v>6</v>
      </c>
      <c r="H1375" s="72">
        <v>0</v>
      </c>
      <c r="I1375" s="39"/>
    </row>
    <row r="1376" spans="1:9" x14ac:dyDescent="0.3">
      <c r="A1376" s="4" t="s">
        <v>946</v>
      </c>
      <c r="B1376" s="13"/>
      <c r="C1376" s="13" t="s">
        <v>1586</v>
      </c>
      <c r="D1376" s="101" t="s">
        <v>2343</v>
      </c>
      <c r="E1376" s="102"/>
      <c r="F1376" s="13" t="s">
        <v>2391</v>
      </c>
      <c r="G1376" s="21">
        <v>2</v>
      </c>
      <c r="H1376" s="72">
        <v>0</v>
      </c>
      <c r="I1376" s="39"/>
    </row>
    <row r="1377" spans="1:9" x14ac:dyDescent="0.3">
      <c r="A1377" s="4" t="s">
        <v>947</v>
      </c>
      <c r="B1377" s="13"/>
      <c r="C1377" s="13" t="s">
        <v>1587</v>
      </c>
      <c r="D1377" s="101" t="s">
        <v>2344</v>
      </c>
      <c r="E1377" s="102"/>
      <c r="F1377" s="13" t="s">
        <v>2391</v>
      </c>
      <c r="G1377" s="21">
        <v>48</v>
      </c>
      <c r="H1377" s="72">
        <v>0</v>
      </c>
      <c r="I1377" s="39"/>
    </row>
    <row r="1378" spans="1:9" x14ac:dyDescent="0.3">
      <c r="A1378" s="4" t="s">
        <v>948</v>
      </c>
      <c r="B1378" s="13"/>
      <c r="C1378" s="13" t="s">
        <v>1588</v>
      </c>
      <c r="D1378" s="101" t="s">
        <v>2345</v>
      </c>
      <c r="E1378" s="102"/>
      <c r="F1378" s="13" t="s">
        <v>2391</v>
      </c>
      <c r="G1378" s="21">
        <v>6</v>
      </c>
      <c r="H1378" s="72">
        <v>0</v>
      </c>
      <c r="I1378" s="39"/>
    </row>
    <row r="1379" spans="1:9" x14ac:dyDescent="0.3">
      <c r="A1379" s="4" t="s">
        <v>949</v>
      </c>
      <c r="B1379" s="13"/>
      <c r="C1379" s="13" t="s">
        <v>1589</v>
      </c>
      <c r="D1379" s="101" t="s">
        <v>2346</v>
      </c>
      <c r="E1379" s="102"/>
      <c r="F1379" s="13" t="s">
        <v>2391</v>
      </c>
      <c r="G1379" s="21">
        <v>22</v>
      </c>
      <c r="H1379" s="72">
        <v>0</v>
      </c>
      <c r="I1379" s="39"/>
    </row>
    <row r="1380" spans="1:9" x14ac:dyDescent="0.3">
      <c r="A1380" s="4" t="s">
        <v>950</v>
      </c>
      <c r="B1380" s="13"/>
      <c r="C1380" s="13" t="s">
        <v>1590</v>
      </c>
      <c r="D1380" s="101" t="s">
        <v>2347</v>
      </c>
      <c r="E1380" s="102"/>
      <c r="F1380" s="13" t="s">
        <v>2391</v>
      </c>
      <c r="G1380" s="21">
        <v>4</v>
      </c>
      <c r="H1380" s="72">
        <v>0</v>
      </c>
      <c r="I1380" s="39"/>
    </row>
    <row r="1381" spans="1:9" x14ac:dyDescent="0.3">
      <c r="A1381" s="4" t="s">
        <v>951</v>
      </c>
      <c r="B1381" s="13"/>
      <c r="C1381" s="13" t="s">
        <v>1591</v>
      </c>
      <c r="D1381" s="101" t="s">
        <v>2348</v>
      </c>
      <c r="E1381" s="102"/>
      <c r="F1381" s="13" t="s">
        <v>2391</v>
      </c>
      <c r="G1381" s="21">
        <v>45</v>
      </c>
      <c r="H1381" s="72">
        <v>0</v>
      </c>
      <c r="I1381" s="39"/>
    </row>
    <row r="1382" spans="1:9" x14ac:dyDescent="0.3">
      <c r="A1382" s="4" t="s">
        <v>952</v>
      </c>
      <c r="B1382" s="13"/>
      <c r="C1382" s="13" t="s">
        <v>1592</v>
      </c>
      <c r="D1382" s="101" t="s">
        <v>2349</v>
      </c>
      <c r="E1382" s="102"/>
      <c r="F1382" s="13" t="s">
        <v>2391</v>
      </c>
      <c r="G1382" s="21">
        <v>12</v>
      </c>
      <c r="H1382" s="72">
        <v>0</v>
      </c>
      <c r="I1382" s="39"/>
    </row>
    <row r="1383" spans="1:9" x14ac:dyDescent="0.3">
      <c r="A1383" s="4" t="s">
        <v>953</v>
      </c>
      <c r="B1383" s="13"/>
      <c r="C1383" s="13" t="s">
        <v>1593</v>
      </c>
      <c r="D1383" s="101" t="s">
        <v>2350</v>
      </c>
      <c r="E1383" s="102"/>
      <c r="F1383" s="13" t="s">
        <v>2391</v>
      </c>
      <c r="G1383" s="21">
        <v>30</v>
      </c>
      <c r="H1383" s="72">
        <v>0</v>
      </c>
      <c r="I1383" s="39"/>
    </row>
    <row r="1384" spans="1:9" x14ac:dyDescent="0.3">
      <c r="A1384" s="4" t="s">
        <v>954</v>
      </c>
      <c r="B1384" s="13"/>
      <c r="C1384" s="13" t="s">
        <v>1594</v>
      </c>
      <c r="D1384" s="101" t="s">
        <v>2351</v>
      </c>
      <c r="E1384" s="102"/>
      <c r="F1384" s="13" t="s">
        <v>2385</v>
      </c>
      <c r="G1384" s="21">
        <v>1450</v>
      </c>
      <c r="H1384" s="72">
        <v>0</v>
      </c>
      <c r="I1384" s="39"/>
    </row>
    <row r="1385" spans="1:9" x14ac:dyDescent="0.3">
      <c r="A1385" s="4" t="s">
        <v>955</v>
      </c>
      <c r="B1385" s="13"/>
      <c r="C1385" s="13" t="s">
        <v>1595</v>
      </c>
      <c r="D1385" s="101" t="s">
        <v>2352</v>
      </c>
      <c r="E1385" s="102"/>
      <c r="F1385" s="13" t="s">
        <v>2385</v>
      </c>
      <c r="G1385" s="21">
        <v>850</v>
      </c>
      <c r="H1385" s="72">
        <v>0</v>
      </c>
      <c r="I1385" s="39"/>
    </row>
    <row r="1386" spans="1:9" x14ac:dyDescent="0.3">
      <c r="A1386" s="4" t="s">
        <v>956</v>
      </c>
      <c r="B1386" s="13"/>
      <c r="C1386" s="13" t="s">
        <v>1596</v>
      </c>
      <c r="D1386" s="101" t="s">
        <v>2353</v>
      </c>
      <c r="E1386" s="102"/>
      <c r="F1386" s="13" t="s">
        <v>2385</v>
      </c>
      <c r="G1386" s="21">
        <v>550</v>
      </c>
      <c r="H1386" s="72">
        <v>0</v>
      </c>
      <c r="I1386" s="39"/>
    </row>
    <row r="1387" spans="1:9" x14ac:dyDescent="0.3">
      <c r="A1387" s="4" t="s">
        <v>957</v>
      </c>
      <c r="B1387" s="13"/>
      <c r="C1387" s="13" t="s">
        <v>1597</v>
      </c>
      <c r="D1387" s="101" t="s">
        <v>2354</v>
      </c>
      <c r="E1387" s="102"/>
      <c r="F1387" s="13" t="s">
        <v>2385</v>
      </c>
      <c r="G1387" s="21">
        <v>500</v>
      </c>
      <c r="H1387" s="72">
        <v>0</v>
      </c>
      <c r="I1387" s="39"/>
    </row>
    <row r="1388" spans="1:9" x14ac:dyDescent="0.3">
      <c r="A1388" s="4" t="s">
        <v>958</v>
      </c>
      <c r="B1388" s="13"/>
      <c r="C1388" s="13" t="s">
        <v>1598</v>
      </c>
      <c r="D1388" s="101" t="s">
        <v>2355</v>
      </c>
      <c r="E1388" s="102"/>
      <c r="F1388" s="13" t="s">
        <v>2385</v>
      </c>
      <c r="G1388" s="21">
        <v>50</v>
      </c>
      <c r="H1388" s="72">
        <v>0</v>
      </c>
      <c r="I1388" s="39"/>
    </row>
    <row r="1389" spans="1:9" x14ac:dyDescent="0.3">
      <c r="A1389" s="4" t="s">
        <v>959</v>
      </c>
      <c r="B1389" s="13"/>
      <c r="C1389" s="13" t="s">
        <v>1599</v>
      </c>
      <c r="D1389" s="101" t="s">
        <v>2356</v>
      </c>
      <c r="E1389" s="102"/>
      <c r="F1389" s="13" t="s">
        <v>2385</v>
      </c>
      <c r="G1389" s="21">
        <v>150</v>
      </c>
      <c r="H1389" s="72">
        <v>0</v>
      </c>
      <c r="I1389" s="39"/>
    </row>
    <row r="1390" spans="1:9" x14ac:dyDescent="0.3">
      <c r="A1390" s="4" t="s">
        <v>960</v>
      </c>
      <c r="B1390" s="13"/>
      <c r="C1390" s="13" t="s">
        <v>1600</v>
      </c>
      <c r="D1390" s="101" t="s">
        <v>2357</v>
      </c>
      <c r="E1390" s="102"/>
      <c r="F1390" s="13" t="s">
        <v>2385</v>
      </c>
      <c r="G1390" s="21">
        <v>200</v>
      </c>
      <c r="H1390" s="72">
        <v>0</v>
      </c>
      <c r="I1390" s="39"/>
    </row>
    <row r="1391" spans="1:9" x14ac:dyDescent="0.3">
      <c r="A1391" s="4" t="s">
        <v>961</v>
      </c>
      <c r="B1391" s="13"/>
      <c r="C1391" s="13" t="s">
        <v>1601</v>
      </c>
      <c r="D1391" s="101" t="s">
        <v>2358</v>
      </c>
      <c r="E1391" s="102"/>
      <c r="F1391" s="13" t="s">
        <v>2386</v>
      </c>
      <c r="G1391" s="21">
        <v>1</v>
      </c>
      <c r="H1391" s="72">
        <v>0</v>
      </c>
      <c r="I1391" s="39"/>
    </row>
    <row r="1392" spans="1:9" x14ac:dyDescent="0.3">
      <c r="A1392" s="4" t="s">
        <v>962</v>
      </c>
      <c r="B1392" s="13"/>
      <c r="C1392" s="13" t="s">
        <v>1602</v>
      </c>
      <c r="D1392" s="101" t="s">
        <v>2359</v>
      </c>
      <c r="E1392" s="102"/>
      <c r="F1392" s="13" t="s">
        <v>2386</v>
      </c>
      <c r="G1392" s="21">
        <v>1</v>
      </c>
      <c r="H1392" s="72">
        <v>0</v>
      </c>
      <c r="I1392" s="39"/>
    </row>
    <row r="1393" spans="1:9" x14ac:dyDescent="0.3">
      <c r="A1393" s="4" t="s">
        <v>963</v>
      </c>
      <c r="B1393" s="13"/>
      <c r="C1393" s="13" t="s">
        <v>1603</v>
      </c>
      <c r="D1393" s="101" t="s">
        <v>2360</v>
      </c>
      <c r="E1393" s="102"/>
      <c r="F1393" s="13" t="s">
        <v>2386</v>
      </c>
      <c r="G1393" s="21">
        <v>1</v>
      </c>
      <c r="H1393" s="72">
        <v>0</v>
      </c>
      <c r="I1393" s="39"/>
    </row>
    <row r="1394" spans="1:9" x14ac:dyDescent="0.3">
      <c r="A1394" s="4" t="s">
        <v>964</v>
      </c>
      <c r="B1394" s="13"/>
      <c r="C1394" s="13" t="s">
        <v>1604</v>
      </c>
      <c r="D1394" s="101" t="s">
        <v>2361</v>
      </c>
      <c r="E1394" s="102"/>
      <c r="F1394" s="13" t="s">
        <v>2386</v>
      </c>
      <c r="G1394" s="21">
        <v>1</v>
      </c>
      <c r="H1394" s="72">
        <v>0</v>
      </c>
      <c r="I1394" s="39"/>
    </row>
    <row r="1395" spans="1:9" x14ac:dyDescent="0.3">
      <c r="A1395" s="4" t="s">
        <v>965</v>
      </c>
      <c r="B1395" s="13"/>
      <c r="C1395" s="13" t="s">
        <v>1605</v>
      </c>
      <c r="D1395" s="101" t="s">
        <v>2362</v>
      </c>
      <c r="E1395" s="102"/>
      <c r="F1395" s="13" t="s">
        <v>2386</v>
      </c>
      <c r="G1395" s="21">
        <v>1</v>
      </c>
      <c r="H1395" s="72">
        <v>0</v>
      </c>
      <c r="I1395" s="39"/>
    </row>
    <row r="1396" spans="1:9" x14ac:dyDescent="0.3">
      <c r="A1396" s="4" t="s">
        <v>966</v>
      </c>
      <c r="B1396" s="13"/>
      <c r="C1396" s="13" t="s">
        <v>1606</v>
      </c>
      <c r="D1396" s="101" t="s">
        <v>2363</v>
      </c>
      <c r="E1396" s="102"/>
      <c r="F1396" s="13" t="s">
        <v>2386</v>
      </c>
      <c r="G1396" s="21">
        <v>1</v>
      </c>
      <c r="H1396" s="72">
        <v>0</v>
      </c>
      <c r="I1396" s="39"/>
    </row>
    <row r="1397" spans="1:9" x14ac:dyDescent="0.3">
      <c r="A1397" s="4" t="s">
        <v>967</v>
      </c>
      <c r="B1397" s="13"/>
      <c r="C1397" s="13" t="s">
        <v>1607</v>
      </c>
      <c r="D1397" s="101" t="s">
        <v>2364</v>
      </c>
      <c r="E1397" s="102"/>
      <c r="F1397" s="13" t="s">
        <v>2386</v>
      </c>
      <c r="G1397" s="21">
        <v>1</v>
      </c>
      <c r="H1397" s="72">
        <v>0</v>
      </c>
      <c r="I1397" s="39"/>
    </row>
    <row r="1398" spans="1:9" x14ac:dyDescent="0.3">
      <c r="A1398" s="4" t="s">
        <v>968</v>
      </c>
      <c r="B1398" s="13"/>
      <c r="C1398" s="13" t="s">
        <v>1608</v>
      </c>
      <c r="D1398" s="101" t="s">
        <v>2365</v>
      </c>
      <c r="E1398" s="102"/>
      <c r="F1398" s="13" t="s">
        <v>2386</v>
      </c>
      <c r="G1398" s="21">
        <v>1</v>
      </c>
      <c r="H1398" s="72">
        <v>0</v>
      </c>
      <c r="I1398" s="39"/>
    </row>
    <row r="1399" spans="1:9" x14ac:dyDescent="0.3">
      <c r="A1399" s="4" t="s">
        <v>969</v>
      </c>
      <c r="B1399" s="13"/>
      <c r="C1399" s="13" t="s">
        <v>1609</v>
      </c>
      <c r="D1399" s="101" t="s">
        <v>2366</v>
      </c>
      <c r="E1399" s="102"/>
      <c r="F1399" s="13" t="s">
        <v>2386</v>
      </c>
      <c r="G1399" s="21">
        <v>1</v>
      </c>
      <c r="H1399" s="72">
        <v>0</v>
      </c>
      <c r="I1399" s="39"/>
    </row>
    <row r="1400" spans="1:9" x14ac:dyDescent="0.3">
      <c r="A1400" s="4" t="s">
        <v>970</v>
      </c>
      <c r="B1400" s="13"/>
      <c r="C1400" s="13" t="s">
        <v>1610</v>
      </c>
      <c r="D1400" s="101" t="s">
        <v>2367</v>
      </c>
      <c r="E1400" s="102"/>
      <c r="F1400" s="13" t="s">
        <v>2386</v>
      </c>
      <c r="G1400" s="21">
        <v>1</v>
      </c>
      <c r="H1400" s="72">
        <v>0</v>
      </c>
      <c r="I1400" s="39"/>
    </row>
    <row r="1401" spans="1:9" x14ac:dyDescent="0.3">
      <c r="A1401" s="4" t="s">
        <v>971</v>
      </c>
      <c r="B1401" s="13"/>
      <c r="C1401" s="13" t="s">
        <v>1611</v>
      </c>
      <c r="D1401" s="101" t="s">
        <v>2368</v>
      </c>
      <c r="E1401" s="102"/>
      <c r="F1401" s="13" t="s">
        <v>2386</v>
      </c>
      <c r="G1401" s="21">
        <v>1</v>
      </c>
      <c r="H1401" s="72">
        <v>0</v>
      </c>
      <c r="I1401" s="39"/>
    </row>
    <row r="1402" spans="1:9" x14ac:dyDescent="0.3">
      <c r="A1402" s="4" t="s">
        <v>972</v>
      </c>
      <c r="B1402" s="13"/>
      <c r="C1402" s="13" t="s">
        <v>1612</v>
      </c>
      <c r="D1402" s="101" t="s">
        <v>2369</v>
      </c>
      <c r="E1402" s="102"/>
      <c r="F1402" s="13" t="s">
        <v>2386</v>
      </c>
      <c r="G1402" s="21">
        <v>1</v>
      </c>
      <c r="H1402" s="72">
        <v>0</v>
      </c>
      <c r="I1402" s="39"/>
    </row>
    <row r="1403" spans="1:9" x14ac:dyDescent="0.3">
      <c r="A1403" s="4" t="s">
        <v>973</v>
      </c>
      <c r="B1403" s="13"/>
      <c r="C1403" s="13" t="s">
        <v>1613</v>
      </c>
      <c r="D1403" s="101" t="s">
        <v>2370</v>
      </c>
      <c r="E1403" s="102"/>
      <c r="F1403" s="13" t="s">
        <v>2386</v>
      </c>
      <c r="G1403" s="21">
        <v>1</v>
      </c>
      <c r="H1403" s="72">
        <v>0</v>
      </c>
      <c r="I1403" s="39"/>
    </row>
    <row r="1404" spans="1:9" x14ac:dyDescent="0.3">
      <c r="A1404" s="4" t="s">
        <v>974</v>
      </c>
      <c r="B1404" s="13"/>
      <c r="C1404" s="13" t="s">
        <v>1614</v>
      </c>
      <c r="D1404" s="101" t="s">
        <v>2371</v>
      </c>
      <c r="E1404" s="102"/>
      <c r="F1404" s="13" t="s">
        <v>2386</v>
      </c>
      <c r="G1404" s="21">
        <v>1</v>
      </c>
      <c r="H1404" s="72">
        <v>0</v>
      </c>
      <c r="I1404" s="39"/>
    </row>
    <row r="1405" spans="1:9" x14ac:dyDescent="0.3">
      <c r="A1405" s="4" t="s">
        <v>975</v>
      </c>
      <c r="B1405" s="13"/>
      <c r="C1405" s="13" t="s">
        <v>1615</v>
      </c>
      <c r="D1405" s="101" t="s">
        <v>1738</v>
      </c>
      <c r="E1405" s="102"/>
      <c r="F1405" s="13" t="s">
        <v>2386</v>
      </c>
      <c r="G1405" s="21">
        <v>1</v>
      </c>
      <c r="H1405" s="72">
        <v>0</v>
      </c>
      <c r="I1405" s="39"/>
    </row>
    <row r="1406" spans="1:9" x14ac:dyDescent="0.3">
      <c r="A1406" s="4" t="s">
        <v>976</v>
      </c>
      <c r="B1406" s="13"/>
      <c r="C1406" s="13" t="s">
        <v>1616</v>
      </c>
      <c r="D1406" s="101" t="s">
        <v>2372</v>
      </c>
      <c r="E1406" s="102"/>
      <c r="F1406" s="13" t="s">
        <v>2386</v>
      </c>
      <c r="G1406" s="21">
        <v>1</v>
      </c>
      <c r="H1406" s="72">
        <v>0</v>
      </c>
      <c r="I1406" s="39"/>
    </row>
    <row r="1407" spans="1:9" x14ac:dyDescent="0.3">
      <c r="A1407" s="4" t="s">
        <v>977</v>
      </c>
      <c r="B1407" s="13"/>
      <c r="C1407" s="13" t="s">
        <v>1617</v>
      </c>
      <c r="D1407" s="101" t="s">
        <v>2373</v>
      </c>
      <c r="E1407" s="102"/>
      <c r="F1407" s="13" t="s">
        <v>2386</v>
      </c>
      <c r="G1407" s="21">
        <v>1</v>
      </c>
      <c r="H1407" s="72">
        <v>0</v>
      </c>
      <c r="I1407" s="39"/>
    </row>
    <row r="1408" spans="1:9" x14ac:dyDescent="0.3">
      <c r="A1408" s="4" t="s">
        <v>978</v>
      </c>
      <c r="B1408" s="13"/>
      <c r="C1408" s="13" t="s">
        <v>1618</v>
      </c>
      <c r="D1408" s="101" t="s">
        <v>2374</v>
      </c>
      <c r="E1408" s="102"/>
      <c r="F1408" s="13" t="s">
        <v>2386</v>
      </c>
      <c r="G1408" s="21">
        <v>1</v>
      </c>
      <c r="H1408" s="72">
        <v>0</v>
      </c>
      <c r="I1408" s="39"/>
    </row>
    <row r="1409" spans="1:9" x14ac:dyDescent="0.3">
      <c r="A1409" s="4" t="s">
        <v>979</v>
      </c>
      <c r="B1409" s="13"/>
      <c r="C1409" s="13" t="s">
        <v>1619</v>
      </c>
      <c r="D1409" s="101" t="s">
        <v>2375</v>
      </c>
      <c r="E1409" s="102"/>
      <c r="F1409" s="13" t="s">
        <v>2386</v>
      </c>
      <c r="G1409" s="21">
        <v>1</v>
      </c>
      <c r="H1409" s="72">
        <v>0</v>
      </c>
      <c r="I1409" s="39"/>
    </row>
    <row r="1410" spans="1:9" x14ac:dyDescent="0.3">
      <c r="A1410" s="4" t="s">
        <v>980</v>
      </c>
      <c r="B1410" s="13"/>
      <c r="C1410" s="13" t="s">
        <v>1620</v>
      </c>
      <c r="D1410" s="101" t="s">
        <v>2376</v>
      </c>
      <c r="E1410" s="102"/>
      <c r="F1410" s="13" t="s">
        <v>2386</v>
      </c>
      <c r="G1410" s="21">
        <v>1</v>
      </c>
      <c r="H1410" s="72">
        <v>0</v>
      </c>
      <c r="I1410" s="39"/>
    </row>
    <row r="1411" spans="1:9" x14ac:dyDescent="0.3">
      <c r="A1411" s="4" t="s">
        <v>981</v>
      </c>
      <c r="B1411" s="13"/>
      <c r="C1411" s="13" t="s">
        <v>1621</v>
      </c>
      <c r="D1411" s="101" t="s">
        <v>1651</v>
      </c>
      <c r="E1411" s="102"/>
      <c r="F1411" s="13" t="s">
        <v>2386</v>
      </c>
      <c r="G1411" s="21">
        <v>1</v>
      </c>
      <c r="H1411" s="72">
        <v>0</v>
      </c>
      <c r="I1411" s="39"/>
    </row>
    <row r="1412" spans="1:9" x14ac:dyDescent="0.3">
      <c r="A1412" s="4" t="s">
        <v>982</v>
      </c>
      <c r="B1412" s="13"/>
      <c r="C1412" s="13" t="s">
        <v>1622</v>
      </c>
      <c r="D1412" s="101" t="s">
        <v>2377</v>
      </c>
      <c r="E1412" s="102"/>
      <c r="F1412" s="13" t="s">
        <v>2386</v>
      </c>
      <c r="G1412" s="21">
        <v>1</v>
      </c>
      <c r="H1412" s="72">
        <v>0</v>
      </c>
      <c r="I1412" s="39"/>
    </row>
    <row r="1413" spans="1:9" x14ac:dyDescent="0.3">
      <c r="A1413" s="7" t="s">
        <v>983</v>
      </c>
      <c r="B1413" s="16"/>
      <c r="C1413" s="16" t="s">
        <v>1623</v>
      </c>
      <c r="D1413" s="95" t="s">
        <v>2378</v>
      </c>
      <c r="E1413" s="96"/>
      <c r="F1413" s="16" t="s">
        <v>2386</v>
      </c>
      <c r="G1413" s="23">
        <v>1</v>
      </c>
      <c r="H1413" s="74">
        <v>0</v>
      </c>
      <c r="I1413" s="39"/>
    </row>
    <row r="1414" spans="1:9" x14ac:dyDescent="0.3">
      <c r="A1414" s="8"/>
      <c r="B1414" s="8"/>
      <c r="C1414" s="8"/>
      <c r="D1414" s="8"/>
      <c r="E1414" s="8"/>
      <c r="F1414" s="8"/>
      <c r="G1414" s="8"/>
      <c r="H1414" s="8"/>
    </row>
    <row r="1415" spans="1:9" ht="11.25" customHeight="1" x14ac:dyDescent="0.3">
      <c r="A1415" s="9" t="s">
        <v>1003</v>
      </c>
    </row>
    <row r="1416" spans="1:9" x14ac:dyDescent="0.3">
      <c r="A1416" s="99"/>
      <c r="B1416" s="100"/>
      <c r="C1416" s="100"/>
      <c r="D1416" s="100"/>
      <c r="E1416" s="100"/>
      <c r="F1416" s="100"/>
      <c r="G1416" s="100"/>
    </row>
  </sheetData>
  <mergeCells count="1422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E54:F54"/>
    <mergeCell ref="E55:F55"/>
    <mergeCell ref="E56:F56"/>
    <mergeCell ref="E57:F57"/>
    <mergeCell ref="D58:E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D72:E72"/>
    <mergeCell ref="E73:F73"/>
    <mergeCell ref="E74:F74"/>
    <mergeCell ref="D75:E75"/>
    <mergeCell ref="E76:F76"/>
    <mergeCell ref="E77:F77"/>
    <mergeCell ref="D78:E78"/>
    <mergeCell ref="E79:F79"/>
    <mergeCell ref="E80:F80"/>
    <mergeCell ref="E81:F81"/>
    <mergeCell ref="E82:F82"/>
    <mergeCell ref="E83:F83"/>
    <mergeCell ref="D84:E84"/>
    <mergeCell ref="E85:F85"/>
    <mergeCell ref="E86:F86"/>
    <mergeCell ref="E87:F87"/>
    <mergeCell ref="E88:F88"/>
    <mergeCell ref="E89:F89"/>
    <mergeCell ref="D90:E90"/>
    <mergeCell ref="E91:F91"/>
    <mergeCell ref="E92:F92"/>
    <mergeCell ref="E93:F93"/>
    <mergeCell ref="D94:E94"/>
    <mergeCell ref="E95:F95"/>
    <mergeCell ref="E96:F96"/>
    <mergeCell ref="E97:F97"/>
    <mergeCell ref="E98:F98"/>
    <mergeCell ref="E99:F99"/>
    <mergeCell ref="E100:F100"/>
    <mergeCell ref="E101:F101"/>
    <mergeCell ref="D102:E102"/>
    <mergeCell ref="E103:F103"/>
    <mergeCell ref="E104:F104"/>
    <mergeCell ref="E105:F105"/>
    <mergeCell ref="E106:F106"/>
    <mergeCell ref="E107:F107"/>
    <mergeCell ref="E108:F108"/>
    <mergeCell ref="D109:E109"/>
    <mergeCell ref="E110:F110"/>
    <mergeCell ref="D111:E111"/>
    <mergeCell ref="E112:F112"/>
    <mergeCell ref="D113:E113"/>
    <mergeCell ref="E114:F114"/>
    <mergeCell ref="E115:F115"/>
    <mergeCell ref="E116:F116"/>
    <mergeCell ref="D117:E117"/>
    <mergeCell ref="E118:F118"/>
    <mergeCell ref="E119:F119"/>
    <mergeCell ref="E120:F120"/>
    <mergeCell ref="E121:F121"/>
    <mergeCell ref="D122:E122"/>
    <mergeCell ref="E123:F123"/>
    <mergeCell ref="E124:F124"/>
    <mergeCell ref="E125:F125"/>
    <mergeCell ref="E126:F126"/>
    <mergeCell ref="E127:F127"/>
    <mergeCell ref="D128:E128"/>
    <mergeCell ref="E129:F129"/>
    <mergeCell ref="E130:F130"/>
    <mergeCell ref="D131:E131"/>
    <mergeCell ref="E132:F132"/>
    <mergeCell ref="E133:F133"/>
    <mergeCell ref="E134:F134"/>
    <mergeCell ref="E135:F135"/>
    <mergeCell ref="D136:E136"/>
    <mergeCell ref="E137:F137"/>
    <mergeCell ref="D138:E138"/>
    <mergeCell ref="E139:F139"/>
    <mergeCell ref="E140:F140"/>
    <mergeCell ref="D141:E141"/>
    <mergeCell ref="D142:E142"/>
    <mergeCell ref="E143:F143"/>
    <mergeCell ref="E144:F144"/>
    <mergeCell ref="E145:F145"/>
    <mergeCell ref="E146:F146"/>
    <mergeCell ref="D147:E147"/>
    <mergeCell ref="D148:E148"/>
    <mergeCell ref="E149:F149"/>
    <mergeCell ref="E150:F150"/>
    <mergeCell ref="D151:E151"/>
    <mergeCell ref="E152:F152"/>
    <mergeCell ref="D153:E153"/>
    <mergeCell ref="E154:F154"/>
    <mergeCell ref="D155:E155"/>
    <mergeCell ref="D156:E156"/>
    <mergeCell ref="D157:E157"/>
    <mergeCell ref="E158:F158"/>
    <mergeCell ref="D159:E159"/>
    <mergeCell ref="D160:E160"/>
    <mergeCell ref="D161:E161"/>
    <mergeCell ref="D162:E162"/>
    <mergeCell ref="E163:F163"/>
    <mergeCell ref="D164:E164"/>
    <mergeCell ref="E165:F165"/>
    <mergeCell ref="D166:E166"/>
    <mergeCell ref="E167:F167"/>
    <mergeCell ref="D168:E168"/>
    <mergeCell ref="E169:F169"/>
    <mergeCell ref="D170:E170"/>
    <mergeCell ref="E171:F171"/>
    <mergeCell ref="D172:E172"/>
    <mergeCell ref="E173:F173"/>
    <mergeCell ref="D174:E174"/>
    <mergeCell ref="E175:F175"/>
    <mergeCell ref="D176:E176"/>
    <mergeCell ref="E177:F177"/>
    <mergeCell ref="D178:E178"/>
    <mergeCell ref="E179:F179"/>
    <mergeCell ref="D180:E180"/>
    <mergeCell ref="E181:F181"/>
    <mergeCell ref="D182:E182"/>
    <mergeCell ref="E183:F183"/>
    <mergeCell ref="D184:E184"/>
    <mergeCell ref="E185:F185"/>
    <mergeCell ref="E186:F186"/>
    <mergeCell ref="E187:F187"/>
    <mergeCell ref="E188:F188"/>
    <mergeCell ref="D189:E189"/>
    <mergeCell ref="E190:F190"/>
    <mergeCell ref="E191:F191"/>
    <mergeCell ref="D192:E192"/>
    <mergeCell ref="E193:F193"/>
    <mergeCell ref="E194:F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E231:F231"/>
    <mergeCell ref="D232:E232"/>
    <mergeCell ref="E233:F233"/>
    <mergeCell ref="D234:E234"/>
    <mergeCell ref="E235:F235"/>
    <mergeCell ref="D236:E236"/>
    <mergeCell ref="E237:F237"/>
    <mergeCell ref="D238:E238"/>
    <mergeCell ref="E239:F239"/>
    <mergeCell ref="D240:E240"/>
    <mergeCell ref="E241:F241"/>
    <mergeCell ref="D242:E242"/>
    <mergeCell ref="E243:F243"/>
    <mergeCell ref="D244:E244"/>
    <mergeCell ref="E245:F245"/>
    <mergeCell ref="D246:E246"/>
    <mergeCell ref="E247:F247"/>
    <mergeCell ref="D248:E248"/>
    <mergeCell ref="D249:E249"/>
    <mergeCell ref="E250:F250"/>
    <mergeCell ref="D251:E251"/>
    <mergeCell ref="E252:F252"/>
    <mergeCell ref="D253:E253"/>
    <mergeCell ref="E254:F254"/>
    <mergeCell ref="D255:E255"/>
    <mergeCell ref="E256:F256"/>
    <mergeCell ref="D257:E257"/>
    <mergeCell ref="E258:F258"/>
    <mergeCell ref="D259:E259"/>
    <mergeCell ref="E260:F260"/>
    <mergeCell ref="D261:E261"/>
    <mergeCell ref="E262:F262"/>
    <mergeCell ref="D263:E263"/>
    <mergeCell ref="E264:F264"/>
    <mergeCell ref="D265:E265"/>
    <mergeCell ref="E266:F266"/>
    <mergeCell ref="D267:E267"/>
    <mergeCell ref="E268:F268"/>
    <mergeCell ref="D269:E269"/>
    <mergeCell ref="E270:F270"/>
    <mergeCell ref="D271:E271"/>
    <mergeCell ref="E272:F272"/>
    <mergeCell ref="D273:E273"/>
    <mergeCell ref="E274:F274"/>
    <mergeCell ref="D275:E275"/>
    <mergeCell ref="E276:F276"/>
    <mergeCell ref="D277:E277"/>
    <mergeCell ref="E278:F278"/>
    <mergeCell ref="D279:E279"/>
    <mergeCell ref="E280:F280"/>
    <mergeCell ref="D281:E281"/>
    <mergeCell ref="E282:F282"/>
    <mergeCell ref="D283:E283"/>
    <mergeCell ref="E284:F284"/>
    <mergeCell ref="D285:E285"/>
    <mergeCell ref="E286:F286"/>
    <mergeCell ref="D287:E287"/>
    <mergeCell ref="E288:F288"/>
    <mergeCell ref="D289:E289"/>
    <mergeCell ref="E290:F290"/>
    <mergeCell ref="D291:E291"/>
    <mergeCell ref="E292:F292"/>
    <mergeCell ref="D293:E293"/>
    <mergeCell ref="E294:F294"/>
    <mergeCell ref="D295:E295"/>
    <mergeCell ref="E296:F296"/>
    <mergeCell ref="D297:E297"/>
    <mergeCell ref="E298:F298"/>
    <mergeCell ref="D299:E299"/>
    <mergeCell ref="E300:F300"/>
    <mergeCell ref="D301:E301"/>
    <mergeCell ref="E302:F302"/>
    <mergeCell ref="D303:E303"/>
    <mergeCell ref="E304:F304"/>
    <mergeCell ref="D305:E305"/>
    <mergeCell ref="E306:F306"/>
    <mergeCell ref="D307:E307"/>
    <mergeCell ref="E308:F308"/>
    <mergeCell ref="D309:E309"/>
    <mergeCell ref="E310:F310"/>
    <mergeCell ref="D311:E311"/>
    <mergeCell ref="E312:F312"/>
    <mergeCell ref="D313:E313"/>
    <mergeCell ref="E314:F314"/>
    <mergeCell ref="D315:E315"/>
    <mergeCell ref="E316:F316"/>
    <mergeCell ref="D317:E317"/>
    <mergeCell ref="E318:F318"/>
    <mergeCell ref="D319:E319"/>
    <mergeCell ref="E320:F320"/>
    <mergeCell ref="D321:E321"/>
    <mergeCell ref="E322:F322"/>
    <mergeCell ref="D323:E323"/>
    <mergeCell ref="E324:F324"/>
    <mergeCell ref="D325:E325"/>
    <mergeCell ref="E326:F326"/>
    <mergeCell ref="D327:E327"/>
    <mergeCell ref="E328:F328"/>
    <mergeCell ref="D329:E329"/>
    <mergeCell ref="E330:F330"/>
    <mergeCell ref="D331:E331"/>
    <mergeCell ref="E332:F332"/>
    <mergeCell ref="D333:E333"/>
    <mergeCell ref="E334:F334"/>
    <mergeCell ref="D335:E335"/>
    <mergeCell ref="E336:F336"/>
    <mergeCell ref="D337:E337"/>
    <mergeCell ref="E338:F338"/>
    <mergeCell ref="D339:E339"/>
    <mergeCell ref="E340:F340"/>
    <mergeCell ref="D341:E341"/>
    <mergeCell ref="D342:E342"/>
    <mergeCell ref="E343:F343"/>
    <mergeCell ref="E344:F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E594:F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E682:F682"/>
    <mergeCell ref="E683:F683"/>
    <mergeCell ref="E684:F684"/>
    <mergeCell ref="D685:E685"/>
    <mergeCell ref="E686:F686"/>
    <mergeCell ref="D687:E687"/>
    <mergeCell ref="E688:F688"/>
    <mergeCell ref="D689:E689"/>
    <mergeCell ref="E690:F690"/>
    <mergeCell ref="D691:E691"/>
    <mergeCell ref="E692:F692"/>
    <mergeCell ref="D693:E693"/>
    <mergeCell ref="E694:F694"/>
    <mergeCell ref="D695:E695"/>
    <mergeCell ref="E696:F696"/>
    <mergeCell ref="D697:E697"/>
    <mergeCell ref="E698:F698"/>
    <mergeCell ref="D699:E699"/>
    <mergeCell ref="E700:F700"/>
    <mergeCell ref="D701:E701"/>
    <mergeCell ref="E702:F702"/>
    <mergeCell ref="D703:E703"/>
    <mergeCell ref="E704:F704"/>
    <mergeCell ref="D705:E705"/>
    <mergeCell ref="E706:F706"/>
    <mergeCell ref="D707:E707"/>
    <mergeCell ref="E708:F708"/>
    <mergeCell ref="D709:E709"/>
    <mergeCell ref="D710:E710"/>
    <mergeCell ref="E711:F711"/>
    <mergeCell ref="D712:E712"/>
    <mergeCell ref="E713:F713"/>
    <mergeCell ref="D714:E714"/>
    <mergeCell ref="E715:F715"/>
    <mergeCell ref="D716:E716"/>
    <mergeCell ref="D717:E717"/>
    <mergeCell ref="E718:F718"/>
    <mergeCell ref="D719:E719"/>
    <mergeCell ref="E720:F720"/>
    <mergeCell ref="D721:E721"/>
    <mergeCell ref="E722:F722"/>
    <mergeCell ref="D723:E723"/>
    <mergeCell ref="E724:F724"/>
    <mergeCell ref="D725:E725"/>
    <mergeCell ref="E726:F726"/>
    <mergeCell ref="D727:E727"/>
    <mergeCell ref="E728:F728"/>
    <mergeCell ref="D729:E729"/>
    <mergeCell ref="E730:F730"/>
    <mergeCell ref="D731:E731"/>
    <mergeCell ref="E732:F732"/>
    <mergeCell ref="D733:E733"/>
    <mergeCell ref="E734:F734"/>
    <mergeCell ref="D735:E735"/>
    <mergeCell ref="E742:F742"/>
    <mergeCell ref="D743:E743"/>
    <mergeCell ref="E744:F744"/>
    <mergeCell ref="D745:E745"/>
    <mergeCell ref="E736:F736"/>
    <mergeCell ref="D737:E737"/>
    <mergeCell ref="E738:F738"/>
    <mergeCell ref="D739:E739"/>
    <mergeCell ref="E740:F740"/>
    <mergeCell ref="D741:E741"/>
    <mergeCell ref="D746:E746"/>
    <mergeCell ref="D747:E747"/>
    <mergeCell ref="E748:F748"/>
    <mergeCell ref="D749:E749"/>
    <mergeCell ref="E750:F750"/>
    <mergeCell ref="D751:E751"/>
    <mergeCell ref="E752:F752"/>
    <mergeCell ref="D753:E753"/>
    <mergeCell ref="E754:F754"/>
    <mergeCell ref="D755:E755"/>
    <mergeCell ref="E756:F756"/>
    <mergeCell ref="D757:E757"/>
    <mergeCell ref="E758:F758"/>
    <mergeCell ref="D759:E759"/>
    <mergeCell ref="E760:F760"/>
    <mergeCell ref="D761:E761"/>
    <mergeCell ref="E762:F762"/>
    <mergeCell ref="D763:E763"/>
    <mergeCell ref="E764:F764"/>
    <mergeCell ref="D765:E765"/>
    <mergeCell ref="E766:F766"/>
    <mergeCell ref="D767:E767"/>
    <mergeCell ref="E768:F768"/>
    <mergeCell ref="D769:E769"/>
    <mergeCell ref="E770:F770"/>
    <mergeCell ref="D771:E771"/>
    <mergeCell ref="E772:F772"/>
    <mergeCell ref="D773:E773"/>
    <mergeCell ref="E774:F774"/>
    <mergeCell ref="D775:E775"/>
    <mergeCell ref="E776:F776"/>
    <mergeCell ref="D777:E777"/>
    <mergeCell ref="E778:F778"/>
    <mergeCell ref="D779:E779"/>
    <mergeCell ref="E780:F780"/>
    <mergeCell ref="D781:E781"/>
    <mergeCell ref="E782:F782"/>
    <mergeCell ref="D783:E783"/>
    <mergeCell ref="E784:F784"/>
    <mergeCell ref="D785:E785"/>
    <mergeCell ref="E786:F786"/>
    <mergeCell ref="D787:E787"/>
    <mergeCell ref="E788:F788"/>
    <mergeCell ref="D789:E789"/>
    <mergeCell ref="E790:F790"/>
    <mergeCell ref="D791:E791"/>
    <mergeCell ref="E792:F792"/>
    <mergeCell ref="D793:E793"/>
    <mergeCell ref="E794:F794"/>
    <mergeCell ref="D795:E795"/>
    <mergeCell ref="E796:F796"/>
    <mergeCell ref="D797:E797"/>
    <mergeCell ref="E798:F798"/>
    <mergeCell ref="D799:E799"/>
    <mergeCell ref="E800:F800"/>
    <mergeCell ref="D801:E801"/>
    <mergeCell ref="E802:F802"/>
    <mergeCell ref="D803:E803"/>
    <mergeCell ref="E804:F804"/>
    <mergeCell ref="D805:E805"/>
    <mergeCell ref="E806:F806"/>
    <mergeCell ref="D807:E807"/>
    <mergeCell ref="E808:F808"/>
    <mergeCell ref="D809:E809"/>
    <mergeCell ref="E810:F810"/>
    <mergeCell ref="D811:E811"/>
    <mergeCell ref="E812:F812"/>
    <mergeCell ref="D813:E813"/>
    <mergeCell ref="E814:F814"/>
    <mergeCell ref="D815:E815"/>
    <mergeCell ref="E816:F816"/>
    <mergeCell ref="D817:E817"/>
    <mergeCell ref="E818:F818"/>
    <mergeCell ref="D819:E819"/>
    <mergeCell ref="E820:F820"/>
    <mergeCell ref="D821:E821"/>
    <mergeCell ref="E822:F822"/>
    <mergeCell ref="D823:E823"/>
    <mergeCell ref="E824:F824"/>
    <mergeCell ref="D825:E825"/>
    <mergeCell ref="E826:F826"/>
    <mergeCell ref="D827:E827"/>
    <mergeCell ref="E828:F828"/>
    <mergeCell ref="D829:E829"/>
    <mergeCell ref="E830:F830"/>
    <mergeCell ref="D831:E831"/>
    <mergeCell ref="E832:F832"/>
    <mergeCell ref="D833:E833"/>
    <mergeCell ref="E834:F834"/>
    <mergeCell ref="D835:E835"/>
    <mergeCell ref="E836:F836"/>
    <mergeCell ref="D837:E837"/>
    <mergeCell ref="E838:F838"/>
    <mergeCell ref="D839:E839"/>
    <mergeCell ref="E840:F840"/>
    <mergeCell ref="D841:E841"/>
    <mergeCell ref="E842:F842"/>
    <mergeCell ref="D843:E843"/>
    <mergeCell ref="E844:F844"/>
    <mergeCell ref="D845:E845"/>
    <mergeCell ref="E846:F846"/>
    <mergeCell ref="D847:E847"/>
    <mergeCell ref="E848:F848"/>
    <mergeCell ref="D849:E849"/>
    <mergeCell ref="E850:F850"/>
    <mergeCell ref="D851:E851"/>
    <mergeCell ref="E852:F852"/>
    <mergeCell ref="D853:E853"/>
    <mergeCell ref="E854:F854"/>
    <mergeCell ref="D855:E855"/>
    <mergeCell ref="E856:F856"/>
    <mergeCell ref="D857:E857"/>
    <mergeCell ref="E858:F858"/>
    <mergeCell ref="D859:E859"/>
    <mergeCell ref="E860:F860"/>
    <mergeCell ref="D861:E861"/>
    <mergeCell ref="E862:F862"/>
    <mergeCell ref="D863:E863"/>
    <mergeCell ref="E864:F864"/>
    <mergeCell ref="D865:E865"/>
    <mergeCell ref="E866:F866"/>
    <mergeCell ref="D867:E867"/>
    <mergeCell ref="E868:F868"/>
    <mergeCell ref="D869:E869"/>
    <mergeCell ref="E870:F870"/>
    <mergeCell ref="D871:E871"/>
    <mergeCell ref="E872:F872"/>
    <mergeCell ref="D873:E873"/>
    <mergeCell ref="E874:F874"/>
    <mergeCell ref="D875:E875"/>
    <mergeCell ref="E876:F876"/>
    <mergeCell ref="D877:E877"/>
    <mergeCell ref="E878:F878"/>
    <mergeCell ref="D879:E879"/>
    <mergeCell ref="E880:F880"/>
    <mergeCell ref="D881:E881"/>
    <mergeCell ref="E882:F882"/>
    <mergeCell ref="D883:E883"/>
    <mergeCell ref="E884:F884"/>
    <mergeCell ref="D885:E885"/>
    <mergeCell ref="E886:F886"/>
    <mergeCell ref="D887:E887"/>
    <mergeCell ref="E888:F888"/>
    <mergeCell ref="D889:E889"/>
    <mergeCell ref="E890:F890"/>
    <mergeCell ref="D891:E891"/>
    <mergeCell ref="E892:F892"/>
    <mergeCell ref="D893:E893"/>
    <mergeCell ref="E894:F894"/>
    <mergeCell ref="D895:E895"/>
    <mergeCell ref="E896:F896"/>
    <mergeCell ref="D897:E897"/>
    <mergeCell ref="E898:F898"/>
    <mergeCell ref="D899:E899"/>
    <mergeCell ref="D900:E900"/>
    <mergeCell ref="E901:F901"/>
    <mergeCell ref="E902:F902"/>
    <mergeCell ref="E903:F903"/>
    <mergeCell ref="E904:F904"/>
    <mergeCell ref="D905:E905"/>
    <mergeCell ref="E906:F906"/>
    <mergeCell ref="D907:E907"/>
    <mergeCell ref="E908:F908"/>
    <mergeCell ref="D909:E909"/>
    <mergeCell ref="E910:F910"/>
    <mergeCell ref="D911:E911"/>
    <mergeCell ref="E912:F912"/>
    <mergeCell ref="D913:E913"/>
    <mergeCell ref="E914:F914"/>
    <mergeCell ref="D915:E915"/>
    <mergeCell ref="E916:F916"/>
    <mergeCell ref="D917:E917"/>
    <mergeCell ref="E918:F918"/>
    <mergeCell ref="D919:E919"/>
    <mergeCell ref="E920:F920"/>
    <mergeCell ref="D921:E921"/>
    <mergeCell ref="E922:F922"/>
    <mergeCell ref="D923:E923"/>
    <mergeCell ref="E924:F924"/>
    <mergeCell ref="D925:E925"/>
    <mergeCell ref="E926:F926"/>
    <mergeCell ref="D927:E927"/>
    <mergeCell ref="E928:F928"/>
    <mergeCell ref="D929:E929"/>
    <mergeCell ref="E930:F930"/>
    <mergeCell ref="D931:E931"/>
    <mergeCell ref="E932:F932"/>
    <mergeCell ref="D933:E933"/>
    <mergeCell ref="E934:F934"/>
    <mergeCell ref="D935:E935"/>
    <mergeCell ref="E936:F936"/>
    <mergeCell ref="D937:E937"/>
    <mergeCell ref="E938:F938"/>
    <mergeCell ref="D939:E939"/>
    <mergeCell ref="E940:F940"/>
    <mergeCell ref="D941:E941"/>
    <mergeCell ref="E942:F942"/>
    <mergeCell ref="D943:E943"/>
    <mergeCell ref="D944:E944"/>
    <mergeCell ref="E945:F945"/>
    <mergeCell ref="E946:F946"/>
    <mergeCell ref="E947:F947"/>
    <mergeCell ref="E948:F948"/>
    <mergeCell ref="D949:E949"/>
    <mergeCell ref="D950:E950"/>
    <mergeCell ref="E951:F951"/>
    <mergeCell ref="E952:F952"/>
    <mergeCell ref="D953:E953"/>
    <mergeCell ref="E954:F954"/>
    <mergeCell ref="D955:E955"/>
    <mergeCell ref="E956:F956"/>
    <mergeCell ref="D957:E957"/>
    <mergeCell ref="E958:F958"/>
    <mergeCell ref="D959:E959"/>
    <mergeCell ref="D960:E960"/>
    <mergeCell ref="E961:F961"/>
    <mergeCell ref="E962:F962"/>
    <mergeCell ref="E963:F963"/>
    <mergeCell ref="D964:E964"/>
    <mergeCell ref="E965:F965"/>
    <mergeCell ref="E966:F966"/>
    <mergeCell ref="E967:F967"/>
    <mergeCell ref="E968:F968"/>
    <mergeCell ref="D969:E969"/>
    <mergeCell ref="E970:F970"/>
    <mergeCell ref="E971:F971"/>
    <mergeCell ref="D972:E972"/>
    <mergeCell ref="E973:F973"/>
    <mergeCell ref="E974:F974"/>
    <mergeCell ref="D975:E975"/>
    <mergeCell ref="E976:F976"/>
    <mergeCell ref="D977:E977"/>
    <mergeCell ref="E978:F978"/>
    <mergeCell ref="D979:E979"/>
    <mergeCell ref="D980:E980"/>
    <mergeCell ref="E981:F981"/>
    <mergeCell ref="E982:F982"/>
    <mergeCell ref="E983:F983"/>
    <mergeCell ref="E984:F984"/>
    <mergeCell ref="E985:F985"/>
    <mergeCell ref="E986:F986"/>
    <mergeCell ref="E987:F987"/>
    <mergeCell ref="D988:E988"/>
    <mergeCell ref="E989:F989"/>
    <mergeCell ref="E990:F990"/>
    <mergeCell ref="D991:E991"/>
    <mergeCell ref="E992:F992"/>
    <mergeCell ref="E993:F993"/>
    <mergeCell ref="D994:E994"/>
    <mergeCell ref="E995:F995"/>
    <mergeCell ref="D996:E996"/>
    <mergeCell ref="E997:F997"/>
    <mergeCell ref="D998:E998"/>
    <mergeCell ref="E999:F999"/>
    <mergeCell ref="D1000:E1000"/>
    <mergeCell ref="E1001:F1001"/>
    <mergeCell ref="D1002:E1002"/>
    <mergeCell ref="E1003:F1003"/>
    <mergeCell ref="D1004:E1004"/>
    <mergeCell ref="E1005:F1005"/>
    <mergeCell ref="D1006:E1006"/>
    <mergeCell ref="D1007:E1007"/>
    <mergeCell ref="E1008:F1008"/>
    <mergeCell ref="D1009:E1009"/>
    <mergeCell ref="D1010:E1010"/>
    <mergeCell ref="E1011:F1011"/>
    <mergeCell ref="D1012:E1012"/>
    <mergeCell ref="E1013:F1013"/>
    <mergeCell ref="E1014:F1014"/>
    <mergeCell ref="E1015:F1015"/>
    <mergeCell ref="E1016:F1016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D1029:E1029"/>
    <mergeCell ref="D1030:E1030"/>
    <mergeCell ref="E1031:F1031"/>
    <mergeCell ref="D1032:E1032"/>
    <mergeCell ref="E1033:F1033"/>
    <mergeCell ref="D1034:E1034"/>
    <mergeCell ref="E1035:F1035"/>
    <mergeCell ref="D1036:E1036"/>
    <mergeCell ref="E1037:F1037"/>
    <mergeCell ref="D1038:E1038"/>
    <mergeCell ref="E1039:F1039"/>
    <mergeCell ref="D1040:E1040"/>
    <mergeCell ref="E1041:F1041"/>
    <mergeCell ref="D1042:E1042"/>
    <mergeCell ref="E1043:F1043"/>
    <mergeCell ref="D1044:E1044"/>
    <mergeCell ref="E1045:F1045"/>
    <mergeCell ref="D1046:E1046"/>
    <mergeCell ref="E1047:F1047"/>
    <mergeCell ref="D1048:E1048"/>
    <mergeCell ref="E1049:F1049"/>
    <mergeCell ref="D1050:E1050"/>
    <mergeCell ref="E1051:F1051"/>
    <mergeCell ref="D1052:E1052"/>
    <mergeCell ref="E1053:F1053"/>
    <mergeCell ref="D1054:E1054"/>
    <mergeCell ref="E1055:F1055"/>
    <mergeCell ref="D1056:E1056"/>
    <mergeCell ref="E1057:F1057"/>
    <mergeCell ref="D1058:E1058"/>
    <mergeCell ref="E1059:F1059"/>
    <mergeCell ref="D1060:E1060"/>
    <mergeCell ref="E1061:F1061"/>
    <mergeCell ref="D1062:E1062"/>
    <mergeCell ref="E1063:F1063"/>
    <mergeCell ref="D1064:E1064"/>
    <mergeCell ref="E1065:F1065"/>
    <mergeCell ref="D1066:E1066"/>
    <mergeCell ref="D1067:E1067"/>
    <mergeCell ref="E1068:F1068"/>
    <mergeCell ref="D1069:E1069"/>
    <mergeCell ref="E1070:F1070"/>
    <mergeCell ref="D1071:E1071"/>
    <mergeCell ref="E1072:F1072"/>
    <mergeCell ref="D1073:E1073"/>
    <mergeCell ref="E1074:F1074"/>
    <mergeCell ref="D1075:E1075"/>
    <mergeCell ref="E1076:F1076"/>
    <mergeCell ref="D1077:E1077"/>
    <mergeCell ref="E1078:F1078"/>
    <mergeCell ref="D1079:E1079"/>
    <mergeCell ref="E1080:F1080"/>
    <mergeCell ref="D1081:E1081"/>
    <mergeCell ref="E1082:F1082"/>
    <mergeCell ref="D1083:E1083"/>
    <mergeCell ref="E1084:F1084"/>
    <mergeCell ref="D1085:E1085"/>
    <mergeCell ref="E1086:F1086"/>
    <mergeCell ref="D1087:E1087"/>
    <mergeCell ref="E1088:F1088"/>
    <mergeCell ref="D1089:E1089"/>
    <mergeCell ref="D1090:E1090"/>
    <mergeCell ref="E1091:F1091"/>
    <mergeCell ref="E1092:F1092"/>
    <mergeCell ref="D1093:E1093"/>
    <mergeCell ref="D1094:E1094"/>
    <mergeCell ref="E1095:F1095"/>
    <mergeCell ref="D1096:E1096"/>
    <mergeCell ref="D1097:E1097"/>
    <mergeCell ref="E1098:F1098"/>
    <mergeCell ref="D1099:E1099"/>
    <mergeCell ref="D1100:E1100"/>
    <mergeCell ref="E1101:F1101"/>
    <mergeCell ref="D1102:E1102"/>
    <mergeCell ref="D1103:E1103"/>
    <mergeCell ref="E1104:F1104"/>
    <mergeCell ref="D1105:E1105"/>
    <mergeCell ref="D1106:E1106"/>
    <mergeCell ref="E1107:F1107"/>
    <mergeCell ref="D1108:E1108"/>
    <mergeCell ref="D1109:E1109"/>
    <mergeCell ref="E1110:F1110"/>
    <mergeCell ref="D1111:E1111"/>
    <mergeCell ref="D1112:E1112"/>
    <mergeCell ref="E1113:F1113"/>
    <mergeCell ref="D1114:E1114"/>
    <mergeCell ref="D1115:E1115"/>
    <mergeCell ref="E1116:F1116"/>
    <mergeCell ref="D1117:E1117"/>
    <mergeCell ref="D1118:E1118"/>
    <mergeCell ref="E1119:F1119"/>
    <mergeCell ref="D1120:E1120"/>
    <mergeCell ref="D1121:E1121"/>
    <mergeCell ref="E1122:F1122"/>
    <mergeCell ref="D1123:E1123"/>
    <mergeCell ref="D1124:E1124"/>
    <mergeCell ref="E1125:F1125"/>
    <mergeCell ref="D1126:E1126"/>
    <mergeCell ref="D1127:E1127"/>
    <mergeCell ref="E1128:F1128"/>
    <mergeCell ref="D1129:E1129"/>
    <mergeCell ref="D1130:E1130"/>
    <mergeCell ref="E1131:F1131"/>
    <mergeCell ref="D1132:E1132"/>
    <mergeCell ref="D1133:E1133"/>
    <mergeCell ref="E1134:F1134"/>
    <mergeCell ref="D1135:E1135"/>
    <mergeCell ref="D1136:E1136"/>
    <mergeCell ref="D1137:E1137"/>
    <mergeCell ref="D1138:E1138"/>
    <mergeCell ref="D1139:E1139"/>
    <mergeCell ref="D1140:E1140"/>
    <mergeCell ref="D1141:E1141"/>
    <mergeCell ref="D1142:E1142"/>
    <mergeCell ref="D1143:E1143"/>
    <mergeCell ref="D1144:E1144"/>
    <mergeCell ref="D1145:E1145"/>
    <mergeCell ref="D1146:E1146"/>
    <mergeCell ref="D1147:E1147"/>
    <mergeCell ref="D1148:E1148"/>
    <mergeCell ref="D1149:E1149"/>
    <mergeCell ref="D1150:E1150"/>
    <mergeCell ref="D1151:E1151"/>
    <mergeCell ref="D1152:E1152"/>
    <mergeCell ref="D1153:E1153"/>
    <mergeCell ref="D1154:E1154"/>
    <mergeCell ref="D1155:E1155"/>
    <mergeCell ref="D1156:E1156"/>
    <mergeCell ref="D1157:E1157"/>
    <mergeCell ref="D1158:E1158"/>
    <mergeCell ref="E1159:F1159"/>
    <mergeCell ref="D1160:E1160"/>
    <mergeCell ref="D1161:E1161"/>
    <mergeCell ref="D1162:E1162"/>
    <mergeCell ref="D1163:E1163"/>
    <mergeCell ref="D1164:E1164"/>
    <mergeCell ref="D1165:E1165"/>
    <mergeCell ref="D1166:E1166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83:E1183"/>
    <mergeCell ref="D1184:E1184"/>
    <mergeCell ref="D1185:E1185"/>
    <mergeCell ref="D1186:E1186"/>
    <mergeCell ref="D1187:E1187"/>
    <mergeCell ref="D1188:E1188"/>
    <mergeCell ref="D1189:E1189"/>
    <mergeCell ref="D1190:E1190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00:E1200"/>
    <mergeCell ref="D1201:E1201"/>
    <mergeCell ref="D1202:E1202"/>
    <mergeCell ref="D1203:E1203"/>
    <mergeCell ref="D1204:E1204"/>
    <mergeCell ref="D1205:E1205"/>
    <mergeCell ref="D1206:E1206"/>
    <mergeCell ref="D1207:E1207"/>
    <mergeCell ref="D1208:E1208"/>
    <mergeCell ref="D1209:E1209"/>
    <mergeCell ref="D1210:E1210"/>
    <mergeCell ref="D1211:E1211"/>
    <mergeCell ref="D1212:E1212"/>
    <mergeCell ref="D1213:E1213"/>
    <mergeCell ref="D1214:E1214"/>
    <mergeCell ref="D1215:E1215"/>
    <mergeCell ref="D1216:E1216"/>
    <mergeCell ref="D1217:E1217"/>
    <mergeCell ref="D1218:E1218"/>
    <mergeCell ref="D1219:E1219"/>
    <mergeCell ref="D1220:E1220"/>
    <mergeCell ref="D1221:E1221"/>
    <mergeCell ref="D1222:E1222"/>
    <mergeCell ref="D1223:E1223"/>
    <mergeCell ref="D1224:E1224"/>
    <mergeCell ref="D1225:E1225"/>
    <mergeCell ref="D1226:E1226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36:E1236"/>
    <mergeCell ref="D1237:E1237"/>
    <mergeCell ref="D1238:E1238"/>
    <mergeCell ref="D1239:E1239"/>
    <mergeCell ref="D1240:E1240"/>
    <mergeCell ref="D1241:E1241"/>
    <mergeCell ref="D1242:E1242"/>
    <mergeCell ref="D1243:E1243"/>
    <mergeCell ref="D1244:E1244"/>
    <mergeCell ref="D1245:E1245"/>
    <mergeCell ref="D1246:E1246"/>
    <mergeCell ref="D1247:E1247"/>
    <mergeCell ref="D1248:E1248"/>
    <mergeCell ref="D1249:E1249"/>
    <mergeCell ref="D1250:E1250"/>
    <mergeCell ref="D1251:E1251"/>
    <mergeCell ref="D1252:E1252"/>
    <mergeCell ref="D1253:E1253"/>
    <mergeCell ref="D1254:E1254"/>
    <mergeCell ref="D1255:E1255"/>
    <mergeCell ref="D1256:E1256"/>
    <mergeCell ref="D1257:E1257"/>
    <mergeCell ref="D1258:E1258"/>
    <mergeCell ref="D1259:E1259"/>
    <mergeCell ref="D1260:E1260"/>
    <mergeCell ref="D1261:E1261"/>
    <mergeCell ref="D1262:E1262"/>
    <mergeCell ref="D1263:E1263"/>
    <mergeCell ref="D1264:E1264"/>
    <mergeCell ref="D1265:E1265"/>
    <mergeCell ref="D1266:E1266"/>
    <mergeCell ref="D1267:E1267"/>
    <mergeCell ref="D1268:E1268"/>
    <mergeCell ref="D1269:E1269"/>
    <mergeCell ref="D1270:E1270"/>
    <mergeCell ref="D1271:E1271"/>
    <mergeCell ref="D1272:E1272"/>
    <mergeCell ref="D1273:E1273"/>
    <mergeCell ref="D1274:E1274"/>
    <mergeCell ref="D1275:E1275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85:E1285"/>
    <mergeCell ref="D1286:E1286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299:E1299"/>
    <mergeCell ref="D1300:E1300"/>
    <mergeCell ref="D1301:E1301"/>
    <mergeCell ref="D1302:E1302"/>
    <mergeCell ref="D1303:E1303"/>
    <mergeCell ref="D1304:E1304"/>
    <mergeCell ref="D1305:E1305"/>
    <mergeCell ref="D1306:E1306"/>
    <mergeCell ref="D1307:E1307"/>
    <mergeCell ref="D1308:E1308"/>
    <mergeCell ref="D1309:E1309"/>
    <mergeCell ref="D1310:E1310"/>
    <mergeCell ref="D1311:E1311"/>
    <mergeCell ref="D1312:E1312"/>
    <mergeCell ref="D1313:E1313"/>
    <mergeCell ref="D1314:E1314"/>
    <mergeCell ref="D1315:E1315"/>
    <mergeCell ref="D1316:E1316"/>
    <mergeCell ref="D1317:E1317"/>
    <mergeCell ref="D1318:E1318"/>
    <mergeCell ref="D1319:E1319"/>
    <mergeCell ref="D1320:E1320"/>
    <mergeCell ref="D1321:E1321"/>
    <mergeCell ref="D1322:E1322"/>
    <mergeCell ref="D1323:E1323"/>
    <mergeCell ref="D1324:E1324"/>
    <mergeCell ref="D1325:E1325"/>
    <mergeCell ref="D1326:E1326"/>
    <mergeCell ref="D1327:E1327"/>
    <mergeCell ref="D1328:E1328"/>
    <mergeCell ref="D1329:E1329"/>
    <mergeCell ref="D1330:E1330"/>
    <mergeCell ref="D1331:E1331"/>
    <mergeCell ref="D1332:E1332"/>
    <mergeCell ref="D1333:E1333"/>
    <mergeCell ref="D1334:E1334"/>
    <mergeCell ref="D1335:E1335"/>
    <mergeCell ref="D1336:E1336"/>
    <mergeCell ref="D1337:E1337"/>
    <mergeCell ref="D1338:E1338"/>
    <mergeCell ref="D1339:E1339"/>
    <mergeCell ref="D1340:E1340"/>
    <mergeCell ref="D1341:E1341"/>
    <mergeCell ref="D1342:E1342"/>
    <mergeCell ref="D1343:E1343"/>
    <mergeCell ref="D1344:E1344"/>
    <mergeCell ref="D1345:E1345"/>
    <mergeCell ref="D1346:E1346"/>
    <mergeCell ref="D1347:E1347"/>
    <mergeCell ref="D1348:E1348"/>
    <mergeCell ref="D1349:E1349"/>
    <mergeCell ref="D1350:E1350"/>
    <mergeCell ref="D1351:E1351"/>
    <mergeCell ref="D1352:E1352"/>
    <mergeCell ref="D1353:E1353"/>
    <mergeCell ref="D1354:E1354"/>
    <mergeCell ref="D1355:E1355"/>
    <mergeCell ref="D1356:E1356"/>
    <mergeCell ref="D1357:E1357"/>
    <mergeCell ref="D1358:E1358"/>
    <mergeCell ref="D1359:E1359"/>
    <mergeCell ref="D1360:E1360"/>
    <mergeCell ref="D1361:E1361"/>
    <mergeCell ref="D1362:E1362"/>
    <mergeCell ref="D1363:E1363"/>
    <mergeCell ref="D1364:E1364"/>
    <mergeCell ref="D1365:E1365"/>
    <mergeCell ref="D1366:E1366"/>
    <mergeCell ref="D1367:E1367"/>
    <mergeCell ref="D1368:E1368"/>
    <mergeCell ref="D1369:E1369"/>
    <mergeCell ref="D1370:E1370"/>
    <mergeCell ref="D1371:E1371"/>
    <mergeCell ref="D1372:E1372"/>
    <mergeCell ref="D1373:E1373"/>
    <mergeCell ref="D1374:E1374"/>
    <mergeCell ref="D1375:E1375"/>
    <mergeCell ref="D1376:E1376"/>
    <mergeCell ref="D1377:E1377"/>
    <mergeCell ref="D1378:E1378"/>
    <mergeCell ref="D1379:E1379"/>
    <mergeCell ref="D1380:E1380"/>
    <mergeCell ref="D1381:E1381"/>
    <mergeCell ref="D1382:E1382"/>
    <mergeCell ref="D1383:E1383"/>
    <mergeCell ref="D1384:E1384"/>
    <mergeCell ref="D1385:E1385"/>
    <mergeCell ref="D1386:E1386"/>
    <mergeCell ref="D1387:E1387"/>
    <mergeCell ref="D1388:E1388"/>
    <mergeCell ref="D1389:E1389"/>
    <mergeCell ref="D1390:E1390"/>
    <mergeCell ref="D1391:E1391"/>
    <mergeCell ref="D1392:E1392"/>
    <mergeCell ref="D1393:E1393"/>
    <mergeCell ref="D1394:E1394"/>
    <mergeCell ref="D1395:E1395"/>
    <mergeCell ref="D1396:E1396"/>
    <mergeCell ref="D1397:E1397"/>
    <mergeCell ref="D1398:E1398"/>
    <mergeCell ref="D1399:E1399"/>
    <mergeCell ref="D1400:E1400"/>
    <mergeCell ref="D1401:E1401"/>
    <mergeCell ref="D1402:E1402"/>
    <mergeCell ref="D1403:E1403"/>
    <mergeCell ref="D1404:E1404"/>
    <mergeCell ref="D1405:E1405"/>
    <mergeCell ref="D1412:E1412"/>
    <mergeCell ref="D1413:E1413"/>
    <mergeCell ref="A1416:G1416"/>
    <mergeCell ref="D1406:E1406"/>
    <mergeCell ref="D1407:E1407"/>
    <mergeCell ref="D1408:E1408"/>
    <mergeCell ref="D1409:E1409"/>
    <mergeCell ref="D1410:E1410"/>
    <mergeCell ref="D1411:E1411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L12" sqref="L12"/>
    </sheetView>
  </sheetViews>
  <sheetFormatPr defaultColWidth="11.53515625" defaultRowHeight="12.45" x14ac:dyDescent="0.3"/>
  <cols>
    <col min="1" max="1" width="9.15234375" customWidth="1"/>
    <col min="2" max="2" width="12.84375" customWidth="1"/>
    <col min="3" max="3" width="22.84375" customWidth="1"/>
    <col min="4" max="4" width="10" customWidth="1"/>
    <col min="5" max="5" width="14" customWidth="1"/>
    <col min="6" max="6" width="22.84375" customWidth="1"/>
    <col min="7" max="7" width="9.15234375" customWidth="1"/>
    <col min="8" max="8" width="12.84375" customWidth="1"/>
    <col min="9" max="9" width="22.84375" customWidth="1"/>
  </cols>
  <sheetData>
    <row r="1" spans="1:10" ht="73" customHeight="1" x14ac:dyDescent="0.3">
      <c r="A1" s="91"/>
      <c r="B1" s="75"/>
      <c r="C1" s="164" t="s">
        <v>2735</v>
      </c>
      <c r="D1" s="128"/>
      <c r="E1" s="128"/>
      <c r="F1" s="128"/>
      <c r="G1" s="128"/>
      <c r="H1" s="128"/>
      <c r="I1" s="128"/>
    </row>
    <row r="2" spans="1:10" x14ac:dyDescent="0.3">
      <c r="A2" s="129" t="s">
        <v>1</v>
      </c>
      <c r="B2" s="130"/>
      <c r="C2" s="131" t="str">
        <f>'Stavební rozpočet'!D2</f>
        <v>Návrh interiérového řešení paláce Dunaj, kanceláře ČAK</v>
      </c>
      <c r="D2" s="98"/>
      <c r="E2" s="134" t="s">
        <v>2400</v>
      </c>
      <c r="F2" s="134" t="str">
        <f>'Stavební rozpočet'!J2</f>
        <v>Česká advokát. komora, Národní 118/16, Praha 1</v>
      </c>
      <c r="G2" s="130"/>
      <c r="H2" s="134" t="s">
        <v>2714</v>
      </c>
      <c r="I2" s="165" t="s">
        <v>2718</v>
      </c>
      <c r="J2" s="39"/>
    </row>
    <row r="3" spans="1:10" x14ac:dyDescent="0.3">
      <c r="A3" s="125"/>
      <c r="B3" s="100"/>
      <c r="C3" s="132"/>
      <c r="D3" s="132"/>
      <c r="E3" s="100"/>
      <c r="F3" s="100"/>
      <c r="G3" s="100"/>
      <c r="H3" s="100"/>
      <c r="I3" s="124"/>
      <c r="J3" s="39"/>
    </row>
    <row r="4" spans="1:10" x14ac:dyDescent="0.3">
      <c r="A4" s="118" t="s">
        <v>2</v>
      </c>
      <c r="B4" s="100"/>
      <c r="C4" s="99" t="str">
        <f>'Stavební rozpočet'!D4</f>
        <v>Kanceláře ČAK</v>
      </c>
      <c r="D4" s="100"/>
      <c r="E4" s="99" t="s">
        <v>2401</v>
      </c>
      <c r="F4" s="99" t="str">
        <f>'Stavební rozpočet'!J4</f>
        <v>Sdružení proj. Ateliér 4+MÓD architekti,</v>
      </c>
      <c r="G4" s="100"/>
      <c r="H4" s="99" t="s">
        <v>2714</v>
      </c>
      <c r="I4" s="163"/>
      <c r="J4" s="39"/>
    </row>
    <row r="5" spans="1:10" x14ac:dyDescent="0.3">
      <c r="A5" s="125"/>
      <c r="B5" s="100"/>
      <c r="C5" s="100"/>
      <c r="D5" s="100"/>
      <c r="E5" s="100"/>
      <c r="F5" s="100"/>
      <c r="G5" s="100"/>
      <c r="H5" s="100"/>
      <c r="I5" s="124"/>
      <c r="J5" s="39"/>
    </row>
    <row r="6" spans="1:10" x14ac:dyDescent="0.3">
      <c r="A6" s="118" t="s">
        <v>3</v>
      </c>
      <c r="B6" s="100"/>
      <c r="C6" s="99" t="str">
        <f>'Stavební rozpočet'!D6</f>
        <v>Národní 10, Praha 1, 1. až 3.NP</v>
      </c>
      <c r="D6" s="100"/>
      <c r="E6" s="99" t="s">
        <v>2402</v>
      </c>
      <c r="F6" s="99" t="str">
        <f>'Stavební rozpočet'!J6</f>
        <v> </v>
      </c>
      <c r="G6" s="100"/>
      <c r="H6" s="99" t="s">
        <v>2714</v>
      </c>
      <c r="I6" s="163"/>
      <c r="J6" s="39"/>
    </row>
    <row r="7" spans="1:10" x14ac:dyDescent="0.3">
      <c r="A7" s="125"/>
      <c r="B7" s="100"/>
      <c r="C7" s="100"/>
      <c r="D7" s="100"/>
      <c r="E7" s="100"/>
      <c r="F7" s="100"/>
      <c r="G7" s="100"/>
      <c r="H7" s="100"/>
      <c r="I7" s="124"/>
      <c r="J7" s="39"/>
    </row>
    <row r="8" spans="1:10" x14ac:dyDescent="0.3">
      <c r="A8" s="118" t="s">
        <v>2380</v>
      </c>
      <c r="B8" s="100"/>
      <c r="C8" s="99" t="str">
        <f>'Stavební rozpočet'!H4</f>
        <v xml:space="preserve"> </v>
      </c>
      <c r="D8" s="100"/>
      <c r="E8" s="99" t="s">
        <v>2381</v>
      </c>
      <c r="F8" s="99" t="str">
        <f>'Stavební rozpočet'!H6</f>
        <v xml:space="preserve"> </v>
      </c>
      <c r="G8" s="100"/>
      <c r="H8" s="121" t="s">
        <v>2715</v>
      </c>
      <c r="I8" s="163" t="s">
        <v>1002</v>
      </c>
      <c r="J8" s="39"/>
    </row>
    <row r="9" spans="1:10" x14ac:dyDescent="0.3">
      <c r="A9" s="125"/>
      <c r="B9" s="100"/>
      <c r="C9" s="100"/>
      <c r="D9" s="100"/>
      <c r="E9" s="100"/>
      <c r="F9" s="100"/>
      <c r="G9" s="100"/>
      <c r="H9" s="100"/>
      <c r="I9" s="124"/>
      <c r="J9" s="39"/>
    </row>
    <row r="10" spans="1:10" x14ac:dyDescent="0.3">
      <c r="A10" s="118" t="s">
        <v>4</v>
      </c>
      <c r="B10" s="100"/>
      <c r="C10" s="99">
        <f>'Stavební rozpočet'!D8</f>
        <v>8016122</v>
      </c>
      <c r="D10" s="100"/>
      <c r="E10" s="99" t="s">
        <v>2403</v>
      </c>
      <c r="F10" s="99" t="str">
        <f>'Stavební rozpočet'!J8</f>
        <v>Ing. Petr FILIP - autor.osoba ČKAIT</v>
      </c>
      <c r="G10" s="100"/>
      <c r="H10" s="121" t="s">
        <v>2716</v>
      </c>
      <c r="I10" s="122">
        <v>44869</v>
      </c>
      <c r="J10" s="39"/>
    </row>
    <row r="11" spans="1:10" ht="12.9" thickBot="1" x14ac:dyDescent="0.35">
      <c r="A11" s="161"/>
      <c r="B11" s="162"/>
      <c r="C11" s="162"/>
      <c r="D11" s="162"/>
      <c r="E11" s="162"/>
      <c r="F11" s="162"/>
      <c r="G11" s="162"/>
      <c r="H11" s="162"/>
      <c r="I11" s="123"/>
      <c r="J11" s="39"/>
    </row>
    <row r="12" spans="1:10" ht="23.5" customHeight="1" x14ac:dyDescent="0.3">
      <c r="A12" s="157" t="s">
        <v>2675</v>
      </c>
      <c r="B12" s="158"/>
      <c r="C12" s="158"/>
      <c r="D12" s="158"/>
      <c r="E12" s="158"/>
      <c r="F12" s="158"/>
      <c r="G12" s="158"/>
      <c r="H12" s="158"/>
      <c r="I12" s="158"/>
    </row>
    <row r="13" spans="1:10" ht="26.5" customHeight="1" x14ac:dyDescent="0.3">
      <c r="A13" s="76" t="s">
        <v>2676</v>
      </c>
      <c r="B13" s="159" t="s">
        <v>2688</v>
      </c>
      <c r="C13" s="160"/>
      <c r="D13" s="76" t="s">
        <v>2690</v>
      </c>
      <c r="E13" s="159" t="s">
        <v>2699</v>
      </c>
      <c r="F13" s="160"/>
      <c r="G13" s="76" t="s">
        <v>2700</v>
      </c>
      <c r="H13" s="159" t="s">
        <v>2717</v>
      </c>
      <c r="I13" s="160"/>
      <c r="J13" s="39"/>
    </row>
    <row r="14" spans="1:10" ht="15.25" customHeight="1" x14ac:dyDescent="0.3">
      <c r="A14" s="77" t="s">
        <v>2677</v>
      </c>
      <c r="B14" s="81" t="s">
        <v>2689</v>
      </c>
      <c r="C14" s="85">
        <f>SUM('Stavební rozpočet'!W12:W1046)</f>
        <v>0</v>
      </c>
      <c r="D14" s="155" t="s">
        <v>2691</v>
      </c>
      <c r="E14" s="156"/>
      <c r="F14" s="85">
        <v>0</v>
      </c>
      <c r="G14" s="155" t="s">
        <v>2701</v>
      </c>
      <c r="H14" s="156"/>
      <c r="I14" s="85">
        <v>0</v>
      </c>
      <c r="J14" s="39"/>
    </row>
    <row r="15" spans="1:10" ht="15.25" customHeight="1" x14ac:dyDescent="0.3">
      <c r="A15" s="78"/>
      <c r="B15" s="81" t="s">
        <v>2411</v>
      </c>
      <c r="C15" s="85">
        <f>SUM('Stavební rozpočet'!X12:X1046)</f>
        <v>0</v>
      </c>
      <c r="D15" s="155" t="s">
        <v>2692</v>
      </c>
      <c r="E15" s="156"/>
      <c r="F15" s="85">
        <v>0</v>
      </c>
      <c r="G15" s="155" t="s">
        <v>2702</v>
      </c>
      <c r="H15" s="156"/>
      <c r="I15" s="85">
        <v>0</v>
      </c>
      <c r="J15" s="39"/>
    </row>
    <row r="16" spans="1:10" ht="15.25" customHeight="1" x14ac:dyDescent="0.3">
      <c r="A16" s="77" t="s">
        <v>2678</v>
      </c>
      <c r="B16" s="81" t="s">
        <v>2689</v>
      </c>
      <c r="C16" s="85">
        <f>SUM('Stavební rozpočet'!Y12:Y1046)</f>
        <v>0</v>
      </c>
      <c r="D16" s="155" t="s">
        <v>2693</v>
      </c>
      <c r="E16" s="156"/>
      <c r="F16" s="85">
        <v>0</v>
      </c>
      <c r="G16" s="155" t="s">
        <v>2703</v>
      </c>
      <c r="H16" s="156"/>
      <c r="I16" s="85">
        <v>0</v>
      </c>
      <c r="J16" s="39"/>
    </row>
    <row r="17" spans="1:10" ht="15.25" customHeight="1" x14ac:dyDescent="0.3">
      <c r="A17" s="78"/>
      <c r="B17" s="81" t="s">
        <v>2411</v>
      </c>
      <c r="C17" s="85">
        <f>SUM('Stavební rozpočet'!Z12:Z1046)</f>
        <v>0</v>
      </c>
      <c r="D17" s="155"/>
      <c r="E17" s="156"/>
      <c r="F17" s="86"/>
      <c r="G17" s="155" t="s">
        <v>2704</v>
      </c>
      <c r="H17" s="156"/>
      <c r="I17" s="85">
        <v>0</v>
      </c>
      <c r="J17" s="39"/>
    </row>
    <row r="18" spans="1:10" ht="15.25" customHeight="1" x14ac:dyDescent="0.3">
      <c r="A18" s="77" t="s">
        <v>2679</v>
      </c>
      <c r="B18" s="81" t="s">
        <v>2689</v>
      </c>
      <c r="C18" s="85">
        <f>SUM('Stavební rozpočet'!AA12:AA1046)</f>
        <v>0</v>
      </c>
      <c r="D18" s="155"/>
      <c r="E18" s="156"/>
      <c r="F18" s="86"/>
      <c r="G18" s="155" t="s">
        <v>2705</v>
      </c>
      <c r="H18" s="156"/>
      <c r="I18" s="85">
        <v>0</v>
      </c>
      <c r="J18" s="39"/>
    </row>
    <row r="19" spans="1:10" ht="15.25" customHeight="1" x14ac:dyDescent="0.3">
      <c r="A19" s="78"/>
      <c r="B19" s="81" t="s">
        <v>2411</v>
      </c>
      <c r="C19" s="85">
        <f>SUM('Stavební rozpočet'!AB12:AB1046)</f>
        <v>0</v>
      </c>
      <c r="D19" s="155"/>
      <c r="E19" s="156"/>
      <c r="F19" s="86"/>
      <c r="G19" s="155" t="s">
        <v>2706</v>
      </c>
      <c r="H19" s="156"/>
      <c r="I19" s="85">
        <v>0</v>
      </c>
      <c r="J19" s="39"/>
    </row>
    <row r="20" spans="1:10" ht="15.25" customHeight="1" x14ac:dyDescent="0.3">
      <c r="A20" s="153" t="s">
        <v>2680</v>
      </c>
      <c r="B20" s="154"/>
      <c r="C20" s="85">
        <f>SUM('Stavební rozpočet'!AC12:AC1046)</f>
        <v>0</v>
      </c>
      <c r="D20" s="155"/>
      <c r="E20" s="156"/>
      <c r="F20" s="86"/>
      <c r="G20" s="155"/>
      <c r="H20" s="156"/>
      <c r="I20" s="86"/>
      <c r="J20" s="39"/>
    </row>
    <row r="21" spans="1:10" ht="15.25" customHeight="1" x14ac:dyDescent="0.3">
      <c r="A21" s="153" t="s">
        <v>2681</v>
      </c>
      <c r="B21" s="154"/>
      <c r="C21" s="85">
        <f>SUM('Stavební rozpočet'!U12:U1046)</f>
        <v>0</v>
      </c>
      <c r="D21" s="155"/>
      <c r="E21" s="156"/>
      <c r="F21" s="86"/>
      <c r="G21" s="155"/>
      <c r="H21" s="156"/>
      <c r="I21" s="86"/>
      <c r="J21" s="39"/>
    </row>
    <row r="22" spans="1:10" ht="16.75" customHeight="1" x14ac:dyDescent="0.3">
      <c r="A22" s="153" t="s">
        <v>2682</v>
      </c>
      <c r="B22" s="154"/>
      <c r="C22" s="85">
        <f>SUM(C14:C21)</f>
        <v>0</v>
      </c>
      <c r="D22" s="153" t="s">
        <v>2694</v>
      </c>
      <c r="E22" s="154"/>
      <c r="F22" s="85">
        <f>SUM(F14:F21)</f>
        <v>0</v>
      </c>
      <c r="G22" s="153" t="s">
        <v>2707</v>
      </c>
      <c r="H22" s="154"/>
      <c r="I22" s="85">
        <f>ROUND(C22*(4.5/100),2)</f>
        <v>0</v>
      </c>
      <c r="J22" s="39"/>
    </row>
    <row r="23" spans="1:10" ht="15.25" customHeight="1" x14ac:dyDescent="0.3">
      <c r="A23" s="8"/>
      <c r="B23" s="8"/>
      <c r="C23" s="83"/>
      <c r="D23" s="153" t="s">
        <v>2695</v>
      </c>
      <c r="E23" s="154"/>
      <c r="F23" s="87">
        <v>0</v>
      </c>
      <c r="G23" s="153" t="s">
        <v>2708</v>
      </c>
      <c r="H23" s="154"/>
      <c r="I23" s="85">
        <v>0</v>
      </c>
      <c r="J23" s="39"/>
    </row>
    <row r="24" spans="1:10" ht="15.25" customHeight="1" x14ac:dyDescent="0.3">
      <c r="D24" s="8"/>
      <c r="E24" s="8"/>
      <c r="F24" s="88"/>
      <c r="G24" s="153" t="s">
        <v>2709</v>
      </c>
      <c r="H24" s="154"/>
      <c r="I24" s="85">
        <v>0</v>
      </c>
      <c r="J24" s="39"/>
    </row>
    <row r="25" spans="1:10" ht="15.25" customHeight="1" x14ac:dyDescent="0.3">
      <c r="F25" s="89"/>
      <c r="G25" s="153" t="s">
        <v>2710</v>
      </c>
      <c r="H25" s="154"/>
      <c r="I25" s="85">
        <v>0</v>
      </c>
      <c r="J25" s="39"/>
    </row>
    <row r="26" spans="1:10" x14ac:dyDescent="0.3">
      <c r="A26" s="75"/>
      <c r="B26" s="75"/>
      <c r="C26" s="75"/>
      <c r="G26" s="8"/>
      <c r="H26" s="8"/>
      <c r="I26" s="8"/>
    </row>
    <row r="27" spans="1:10" ht="15.25" customHeight="1" x14ac:dyDescent="0.3">
      <c r="A27" s="148" t="s">
        <v>2683</v>
      </c>
      <c r="B27" s="149"/>
      <c r="C27" s="90">
        <f>SUM('Stavební rozpočet'!AE12:AE1046)</f>
        <v>0</v>
      </c>
      <c r="D27" s="84"/>
      <c r="E27" s="75"/>
      <c r="F27" s="75"/>
      <c r="G27" s="75"/>
      <c r="H27" s="75"/>
      <c r="I27" s="75"/>
    </row>
    <row r="28" spans="1:10" ht="15.25" customHeight="1" x14ac:dyDescent="0.3">
      <c r="A28" s="148" t="s">
        <v>2684</v>
      </c>
      <c r="B28" s="149"/>
      <c r="C28" s="90">
        <f>SUM('Stavební rozpočet'!AF12:AF1046)</f>
        <v>0</v>
      </c>
      <c r="D28" s="148" t="s">
        <v>2696</v>
      </c>
      <c r="E28" s="149"/>
      <c r="F28" s="90">
        <f>ROUND(C28*(15/100),2)</f>
        <v>0</v>
      </c>
      <c r="G28" s="148" t="s">
        <v>2711</v>
      </c>
      <c r="H28" s="149"/>
      <c r="I28" s="90">
        <f>SUM(C27:C29)</f>
        <v>0</v>
      </c>
      <c r="J28" s="39"/>
    </row>
    <row r="29" spans="1:10" ht="15.25" customHeight="1" x14ac:dyDescent="0.3">
      <c r="A29" s="148" t="s">
        <v>2685</v>
      </c>
      <c r="B29" s="149"/>
      <c r="C29" s="90">
        <f>SUM('Stavební rozpočet'!AG12:AG1046)+(F22+I22+F23+I23+I24+I25)</f>
        <v>0</v>
      </c>
      <c r="D29" s="148" t="s">
        <v>2697</v>
      </c>
      <c r="E29" s="149"/>
      <c r="F29" s="90">
        <f>ROUND(C29*(21/100),2)</f>
        <v>0</v>
      </c>
      <c r="G29" s="148" t="s">
        <v>2712</v>
      </c>
      <c r="H29" s="149"/>
      <c r="I29" s="90">
        <f>SUM(F28:F29)+I28</f>
        <v>0</v>
      </c>
      <c r="J29" s="39"/>
    </row>
    <row r="30" spans="1:10" x14ac:dyDescent="0.3">
      <c r="A30" s="79"/>
      <c r="B30" s="79"/>
      <c r="C30" s="79"/>
      <c r="D30" s="79"/>
      <c r="E30" s="79"/>
      <c r="F30" s="79"/>
      <c r="G30" s="79"/>
      <c r="H30" s="79"/>
      <c r="I30" s="79"/>
    </row>
    <row r="31" spans="1:10" ht="14.5" customHeight="1" x14ac:dyDescent="0.3">
      <c r="A31" s="150" t="s">
        <v>2686</v>
      </c>
      <c r="B31" s="151"/>
      <c r="C31" s="152"/>
      <c r="D31" s="150" t="s">
        <v>2698</v>
      </c>
      <c r="E31" s="151"/>
      <c r="F31" s="152"/>
      <c r="G31" s="150" t="s">
        <v>2713</v>
      </c>
      <c r="H31" s="151"/>
      <c r="I31" s="152"/>
      <c r="J31" s="40"/>
    </row>
    <row r="32" spans="1:10" ht="14.5" customHeight="1" x14ac:dyDescent="0.3">
      <c r="A32" s="142"/>
      <c r="B32" s="143"/>
      <c r="C32" s="144"/>
      <c r="D32" s="142"/>
      <c r="E32" s="143"/>
      <c r="F32" s="144"/>
      <c r="G32" s="142"/>
      <c r="H32" s="143"/>
      <c r="I32" s="144"/>
      <c r="J32" s="40"/>
    </row>
    <row r="33" spans="1:10" ht="14.5" customHeight="1" x14ac:dyDescent="0.3">
      <c r="A33" s="142"/>
      <c r="B33" s="143"/>
      <c r="C33" s="144"/>
      <c r="D33" s="142"/>
      <c r="E33" s="143"/>
      <c r="F33" s="144"/>
      <c r="G33" s="142"/>
      <c r="H33" s="143"/>
      <c r="I33" s="144"/>
      <c r="J33" s="40"/>
    </row>
    <row r="34" spans="1:10" ht="14.5" customHeight="1" x14ac:dyDescent="0.3">
      <c r="A34" s="142"/>
      <c r="B34" s="143"/>
      <c r="C34" s="144"/>
      <c r="D34" s="142"/>
      <c r="E34" s="143"/>
      <c r="F34" s="144"/>
      <c r="G34" s="142"/>
      <c r="H34" s="143"/>
      <c r="I34" s="144"/>
      <c r="J34" s="40"/>
    </row>
    <row r="35" spans="1:10" ht="14.5" customHeight="1" x14ac:dyDescent="0.3">
      <c r="A35" s="145" t="s">
        <v>2687</v>
      </c>
      <c r="B35" s="146"/>
      <c r="C35" s="147"/>
      <c r="D35" s="145" t="s">
        <v>2687</v>
      </c>
      <c r="E35" s="146"/>
      <c r="F35" s="147"/>
      <c r="G35" s="145" t="s">
        <v>2687</v>
      </c>
      <c r="H35" s="146"/>
      <c r="I35" s="147"/>
      <c r="J35" s="40"/>
    </row>
    <row r="36" spans="1:10" ht="11.25" customHeight="1" x14ac:dyDescent="0.3">
      <c r="A36" s="80" t="s">
        <v>1003</v>
      </c>
      <c r="B36" s="82"/>
      <c r="C36" s="82"/>
      <c r="D36" s="82"/>
      <c r="E36" s="82"/>
      <c r="F36" s="82"/>
      <c r="G36" s="82"/>
      <c r="H36" s="82"/>
      <c r="I36" s="82"/>
    </row>
    <row r="37" spans="1:10" x14ac:dyDescent="0.3">
      <c r="A37" s="99"/>
      <c r="B37" s="100"/>
      <c r="C37" s="100"/>
      <c r="D37" s="100"/>
      <c r="E37" s="100"/>
      <c r="F37" s="100"/>
      <c r="G37" s="100"/>
      <c r="H37" s="100"/>
      <c r="I37" s="100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Stavební rozpočet</vt:lpstr>
      <vt:lpstr>Stavební rozpočet - součet</vt:lpstr>
      <vt:lpstr>Výkaz výměr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2022-10-25T12:30:32Z</dcterms:created>
  <dcterms:modified xsi:type="dcterms:W3CDTF">2022-11-04T12:53:19Z</dcterms:modified>
</cp:coreProperties>
</file>